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HMu0usXUgG+oHD/iWhq7tbCWkHmKcMrgD3yheqD9f5iwgobVHrGiVyHpQ3Cx0et+Y+iiT/sLAp7RN2WH6CC56w==" workbookSaltValue="v6JIrQOsmcQojGCaYkRB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J29" i="2"/>
  <c r="U13" i="16"/>
  <c r="P13" i="14"/>
  <c r="R13" i="17"/>
  <c r="R8" i="9"/>
  <c r="I13" i="14"/>
  <c r="X12" i="17"/>
  <c r="F11" i="16"/>
  <c r="BL11" i="16" s="1"/>
  <c r="BG17" i="13"/>
  <c r="BE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BH21" i="16"/>
  <c r="V18" i="16"/>
  <c r="V29" i="11"/>
  <c r="X21" i="16"/>
  <c r="BF12" i="11"/>
  <c r="BK20" i="11"/>
  <c r="BJ10" i="11"/>
  <c r="BL22" i="11"/>
  <c r="L28" i="2"/>
  <c r="AA11" i="16"/>
  <c r="BF11" i="11"/>
  <c r="BL9" i="11"/>
  <c r="BF19" i="11"/>
  <c r="BL18" i="11"/>
  <c r="BK12" i="11"/>
  <c r="S18" i="16"/>
  <c r="S9" i="17"/>
  <c r="BI10" i="11"/>
  <c r="BM25" i="11"/>
  <c r="Q25" i="11" s="1"/>
  <c r="V28" i="11"/>
  <c r="BI18" i="11"/>
  <c r="BH28" i="16"/>
  <c r="V22" i="11"/>
  <c r="BM20" i="11"/>
  <c r="BU28" i="17"/>
  <c r="BW9" i="20"/>
  <c r="BV17" i="16"/>
  <c r="BV25" i="16"/>
  <c r="BU9" i="17"/>
  <c r="BW10" i="20"/>
  <c r="BV22" i="16"/>
  <c r="BU17" i="17"/>
  <c r="S22" i="17"/>
  <c r="BF20" i="11"/>
  <c r="S16" i="16"/>
  <c r="S23" i="16" s="1"/>
  <c r="BL20" i="11"/>
  <c r="BL16" i="11"/>
  <c r="BH21" i="11"/>
  <c r="AZ25" i="11"/>
  <c r="AZ30" i="11" s="1"/>
  <c r="BK17" i="11"/>
  <c r="BM18" i="11"/>
  <c r="BH17" i="11"/>
  <c r="AQ12" i="21"/>
  <c r="BH25" i="11"/>
  <c r="BI21" i="11"/>
  <c r="L10" i="2"/>
  <c r="X21" i="20"/>
  <c r="L16" i="2"/>
  <c r="X19" i="16"/>
  <c r="X10" i="21"/>
  <c r="L20" i="2"/>
  <c r="U9" i="17"/>
  <c r="U31" i="17" s="1"/>
  <c r="V10" i="16"/>
  <c r="V9" i="16"/>
  <c r="BH18" i="16"/>
  <c r="BJ19" i="11"/>
  <c r="BI28" i="11"/>
  <c r="BF25" i="11"/>
  <c r="AZ29" i="11"/>
  <c r="BG29" i="11"/>
  <c r="Q10" i="21"/>
  <c r="BK25" i="11"/>
  <c r="BH20" i="11"/>
  <c r="BH23" i="11" s="1"/>
  <c r="AZ13" i="11"/>
  <c r="AZ21" i="11"/>
  <c r="BJ28" i="11"/>
  <c r="BU11" i="17"/>
  <c r="BU21" i="17"/>
  <c r="BW17" i="20"/>
  <c r="BU19" i="17"/>
  <c r="BU13" i="17"/>
  <c r="S11" i="17"/>
  <c r="BV20" i="16"/>
  <c r="BV23" i="16" s="1"/>
  <c r="BV26" i="16" s="1"/>
  <c r="BV30" i="16" s="1"/>
  <c r="S25" i="17"/>
  <c r="AZ11" i="11"/>
  <c r="P16" i="17"/>
  <c r="P23" i="17" s="1"/>
  <c r="P31" i="17" s="1"/>
  <c r="BH25" i="16"/>
  <c r="Q16" i="17"/>
  <c r="BF16" i="11"/>
  <c r="BI22" i="11"/>
  <c r="BK10" i="11"/>
  <c r="L17" i="2"/>
  <c r="L18" i="2"/>
  <c r="X16" i="16"/>
  <c r="X23" i="16" s="1"/>
  <c r="L9" i="2"/>
  <c r="V25" i="16"/>
  <c r="X13" i="16"/>
  <c r="BJ23" i="11"/>
  <c r="I9" i="12"/>
  <c r="K9" i="12"/>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P25" i="11"/>
  <c r="P12" i="11"/>
  <c r="AZ26"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<sst xmlns="http://schemas.openxmlformats.org/spreadsheetml/2006/main" count="2682" uniqueCount="1193">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</sst>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ceJi9w7E8iR1tBNW+2IO5eObmoBYOcfxrmYMqfr0D7EBopo1pPaj8c6zhMmD6TnvaCaJbcrWM7WiNNnMZBiSw==" saltValue="x10Y7el7tPGJKAdNAYYj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36.888888888888886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165</v>
      </c>
      <c r="D17" s="239">
        <f>IF(ISNUMBER(IF(D_I="SI",Datos!I17,Datos!I17+Datos!AC17)),IF(D_I="SI",Datos!I17,Datos!I17+Datos!AC17)," - ")</f>
        <v>161</v>
      </c>
      <c r="E17" s="240">
        <f>IF(ISNUMBER(IF(D_I="SI",Datos!J17,Datos!J17+Datos!AD17)),IF(D_I="SI",Datos!J17,Datos!J17+Datos!AD17)," - ")</f>
        <v>285</v>
      </c>
      <c r="F17" s="240">
        <f>IF(ISNUMBER(IF(D_I="SI",Datos!K17,Datos!K17+Datos!AE17)),IF(D_I="SI",Datos!K17,Datos!K17+Datos!AE17)," - ")</f>
        <v>254</v>
      </c>
      <c r="G17" s="1390" t="str">
        <f>IF(Datos!E17&lt;&gt;"",Datos!E17,Datos!D17)</f>
        <v>04</v>
      </c>
      <c r="H17" s="241">
        <f>IF(ISNUMBER(IF(D_I="SI",Datos!L17,Datos!L17+Datos!AF17)),IF(D_I="SI",Datos!L17,Datos!L17+Datos!AF17)," - ")</f>
        <v>196</v>
      </c>
      <c r="I17" s="1400" t="str">
        <f>IF(ISNUMBER(Datos!AS17/Datos!BM17),Datos!AS17/Datos!BM17," - ")</f>
        <v xml:space="preserve"> - </v>
      </c>
      <c r="J17" s="1401">
        <f>IF(ISNUMBER(Datos!BY17/Datos!CN17),Datos!BY17/Datos!CN17," - ")</f>
        <v>0</v>
      </c>
      <c r="K17" s="244">
        <f t="shared" si="3"/>
        <v>0.18787878787878787</v>
      </c>
      <c r="L17" s="1402">
        <f>IF(ISNUMBER(NºAsuntos!I17/NºAsuntos!G17),(NºAsuntos!I17/NºAsuntos!G17)*11," - ")</f>
        <v>8.4881889763779519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18</v>
      </c>
      <c r="F18" s="240">
        <f>IF(ISNUMBER(IF(D_I="SI",Datos!K18,Datos!K18+Datos!AE18)),IF(D_I="SI",Datos!K18,Datos!K18+Datos!AE18)," - ")</f>
        <v>21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6.8095238095238102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181</v>
      </c>
      <c r="D23" s="1407">
        <f>SUBTOTAL(9,D16:D22)</f>
        <v>177</v>
      </c>
      <c r="E23" s="1408">
        <f>SUBTOTAL(9,E16:E22)</f>
        <v>303</v>
      </c>
      <c r="F23" s="1408">
        <f>SUBTOTAL(9,F16:F22)</f>
        <v>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194</v>
      </c>
      <c r="D31" s="1435">
        <f>SUBTOTAL(9,D9:D30)</f>
        <v>190</v>
      </c>
      <c r="E31" s="1436">
        <f>SUBTOTAL(9,E9:E30)</f>
        <v>305</v>
      </c>
      <c r="F31" s="1436">
        <f>SUBTOTAL(9,F9:F30)</f>
        <v>277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rA/zTYwJjPsoT6UJMz93VmFc4zSPjX6BEhYlVMl5fkis2WlUkLrl5JcgvW4xfEYDygxJfGdOleoqqlNQluJEA==" saltValue="vsjoirlaszJGHF7Wa8XB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7jxKZTxhnk4hW7MZ4eR2l9ooB/wzco9cZNj6dslmoQ7/ipF3b57OY1vs8/T5xE6mUHnO7yekv7f8ECpsuhDkA==" saltValue="8S0xwHdP3Ql5WicA/l6Y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v>
      </c>
      <c r="K10" s="194">
        <v>2</v>
      </c>
      <c r="L10" s="194">
        <v>13</v>
      </c>
      <c r="M10" s="194">
        <v>2</v>
      </c>
      <c r="N10" s="194">
        <v>0</v>
      </c>
      <c r="O10" s="194">
        <v>0</v>
      </c>
      <c r="P10" s="194">
        <v>0</v>
      </c>
      <c r="Q10" s="194">
        <v>0</v>
      </c>
      <c r="R10" s="194">
        <v>4</v>
      </c>
      <c r="S10" s="194">
        <v>7</v>
      </c>
      <c r="T10" s="194">
        <v>1</v>
      </c>
      <c r="U10" s="194">
        <v>3</v>
      </c>
      <c r="V10" s="194">
        <v>5</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3</v>
      </c>
      <c r="BB10" s="139">
        <f t="shared" si="0"/>
        <v>5</v>
      </c>
      <c r="BC10" s="135">
        <f t="shared" si="0"/>
        <v>0</v>
      </c>
      <c r="BD10" s="136">
        <f>IF(ISNUMBER(BA10/AZ10),BA10/AZ10," - ")</f>
        <v>3</v>
      </c>
      <c r="BE10" s="137">
        <f>IF(ISNUMBER(BB10/BA10),BB10/BA10, " - ")</f>
        <v>1.6666666666666667</v>
      </c>
      <c r="BF10" s="137">
        <f>IF(ISNUMBER(BC10/BA10),BC10/BA10, " - ")</f>
        <v>0</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269</v>
      </c>
      <c r="J12" s="196">
        <v>148</v>
      </c>
      <c r="K12" s="196">
        <v>93</v>
      </c>
      <c r="L12" s="196">
        <v>324</v>
      </c>
      <c r="M12" s="196">
        <v>23</v>
      </c>
      <c r="N12" s="196">
        <v>46</v>
      </c>
      <c r="O12" s="194">
        <v>26</v>
      </c>
      <c r="P12" s="196">
        <v>22</v>
      </c>
      <c r="Q12" s="196">
        <v>9</v>
      </c>
      <c r="R12" s="196">
        <v>361</v>
      </c>
      <c r="S12" s="196">
        <v>223</v>
      </c>
      <c r="T12" s="196">
        <v>126</v>
      </c>
      <c r="U12" s="196">
        <v>108</v>
      </c>
      <c r="V12" s="196">
        <v>241</v>
      </c>
      <c r="W12" s="196">
        <v>20</v>
      </c>
      <c r="X12" s="202">
        <v>57</v>
      </c>
      <c r="Y12" s="204">
        <v>7</v>
      </c>
      <c r="Z12" s="194">
        <v>7</v>
      </c>
      <c r="AA12" s="194">
        <v>6</v>
      </c>
      <c r="AB12" s="194">
        <v>8</v>
      </c>
      <c r="AC12" s="196">
        <v>0</v>
      </c>
      <c r="AD12" s="196">
        <v>0</v>
      </c>
      <c r="AE12" s="196">
        <v>0</v>
      </c>
      <c r="AF12" s="202">
        <v>0</v>
      </c>
      <c r="AG12" s="215">
        <v>4</v>
      </c>
      <c r="AH12" s="196">
        <v>3</v>
      </c>
      <c r="AI12" s="196">
        <v>5</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227</v>
      </c>
      <c r="AZ12" s="137">
        <f t="shared" si="1"/>
        <v>129</v>
      </c>
      <c r="BA12" s="137">
        <f t="shared" si="1"/>
        <v>113</v>
      </c>
      <c r="BB12" s="137">
        <f t="shared" si="1"/>
        <v>243</v>
      </c>
      <c r="BC12" s="135">
        <f>IF(ISNUMBER(X12),X12," - ")</f>
        <v>57</v>
      </c>
      <c r="BD12" s="136">
        <f t="shared" si="2"/>
        <v>0.87596899224806202</v>
      </c>
      <c r="BE12" s="137">
        <f t="shared" si="3"/>
        <v>2.1504424778761062</v>
      </c>
      <c r="BF12" s="137">
        <f t="shared" si="4"/>
        <v>0.50442477876106195</v>
      </c>
      <c r="BG12" s="209">
        <f t="shared" si="5"/>
        <v>3.1504424778761062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282</v>
      </c>
      <c r="J14" s="197">
        <f t="shared" si="7"/>
        <v>150</v>
      </c>
      <c r="K14" s="197">
        <f t="shared" si="7"/>
        <v>95</v>
      </c>
      <c r="L14" s="197">
        <f t="shared" si="7"/>
        <v>337</v>
      </c>
      <c r="M14" s="197">
        <f t="shared" si="7"/>
        <v>25</v>
      </c>
      <c r="N14" s="197">
        <f t="shared" si="7"/>
        <v>46</v>
      </c>
      <c r="O14" s="197">
        <f t="shared" si="7"/>
        <v>26</v>
      </c>
      <c r="P14" s="197">
        <f t="shared" si="7"/>
        <v>22</v>
      </c>
      <c r="Q14" s="197">
        <f t="shared" si="7"/>
        <v>9</v>
      </c>
      <c r="R14" s="197">
        <f t="shared" si="7"/>
        <v>365</v>
      </c>
      <c r="S14" s="197">
        <f t="shared" si="7"/>
        <v>230</v>
      </c>
      <c r="T14" s="197">
        <f t="shared" si="7"/>
        <v>127</v>
      </c>
      <c r="U14" s="197">
        <f t="shared" si="7"/>
        <v>111</v>
      </c>
      <c r="V14" s="197">
        <f t="shared" si="7"/>
        <v>246</v>
      </c>
      <c r="W14" s="197">
        <f t="shared" si="7"/>
        <v>20</v>
      </c>
      <c r="X14" s="197">
        <f t="shared" si="7"/>
        <v>59</v>
      </c>
      <c r="Y14" s="197">
        <f t="shared" si="7"/>
        <v>7</v>
      </c>
      <c r="Z14" s="197">
        <f t="shared" si="7"/>
        <v>7</v>
      </c>
      <c r="AA14" s="197">
        <f t="shared" si="7"/>
        <v>6</v>
      </c>
      <c r="AB14" s="197">
        <f t="shared" si="7"/>
        <v>8</v>
      </c>
      <c r="AC14" s="197">
        <f t="shared" si="7"/>
        <v>0</v>
      </c>
      <c r="AD14" s="197">
        <f t="shared" si="7"/>
        <v>0</v>
      </c>
      <c r="AE14" s="197">
        <f t="shared" si="7"/>
        <v>0</v>
      </c>
      <c r="AF14" s="197">
        <f>SUBTOTAL(9,AF9:AF13)</f>
        <v>0</v>
      </c>
      <c r="AG14" s="197">
        <f t="shared" ref="AG14:AT14" si="8">SUBTOTAL(9,AG8:AG13)</f>
        <v>4</v>
      </c>
      <c r="AH14" s="197">
        <f t="shared" si="8"/>
        <v>3</v>
      </c>
      <c r="AI14" s="197">
        <f t="shared" si="8"/>
        <v>5</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234</v>
      </c>
      <c r="AZ14" s="197">
        <f>SUBTOTAL(9,AZ8:AZ13)</f>
        <v>130</v>
      </c>
      <c r="BA14" s="197">
        <f>SUBTOTAL(9,BA8:BA13)</f>
        <v>116</v>
      </c>
      <c r="BB14" s="197">
        <f>SUBTOTAL(9,BB8:BB13)</f>
        <v>248</v>
      </c>
      <c r="BC14" s="197">
        <f>SUBTOTAL(9,BC8:BC13)</f>
        <v>57</v>
      </c>
      <c r="BD14" s="219">
        <f>IF(ISNUMBER(BA14/AZ14),BA14/AZ14," - ")</f>
        <v>0.89230769230769236</v>
      </c>
      <c r="BE14" s="220">
        <f>IF(ISNUMBER(BB14/BA14),BB14/BA14, " - ")</f>
        <v>2.1379310344827585</v>
      </c>
      <c r="BF14" s="220">
        <f>IF(ISNUMBER(BC14/BA14),BC14/BA14, " - ")</f>
        <v>0.49137931034482757</v>
      </c>
      <c r="BG14" s="221">
        <f>IF(ISNUMBER((AY14+AZ14)/BA14),(AY14+AZ14)/BA14," - ")</f>
        <v>3.1379310344827585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161</v>
      </c>
      <c r="J17" s="196">
        <v>285</v>
      </c>
      <c r="K17" s="196">
        <v>254</v>
      </c>
      <c r="L17" s="196">
        <v>196</v>
      </c>
      <c r="M17" s="196">
        <v>30</v>
      </c>
      <c r="N17" s="196">
        <v>189</v>
      </c>
      <c r="O17" s="194">
        <v>0</v>
      </c>
      <c r="P17" s="196">
        <v>0</v>
      </c>
      <c r="Q17" s="196">
        <v>0</v>
      </c>
      <c r="R17" s="196">
        <v>67</v>
      </c>
      <c r="S17" s="196">
        <v>274</v>
      </c>
      <c r="T17" s="196">
        <v>188</v>
      </c>
      <c r="U17" s="196">
        <v>270</v>
      </c>
      <c r="V17" s="196">
        <v>197</v>
      </c>
      <c r="W17" s="196">
        <v>23</v>
      </c>
      <c r="X17" s="202">
        <v>233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274</v>
      </c>
      <c r="AZ17" s="137">
        <f t="shared" si="10"/>
        <v>188</v>
      </c>
      <c r="BA17" s="137">
        <f t="shared" si="10"/>
        <v>270</v>
      </c>
      <c r="BB17" s="137">
        <f t="shared" si="10"/>
        <v>197</v>
      </c>
      <c r="BC17" s="135">
        <f>IF(ISNUMBER(W17),W17," - ")</f>
        <v>23</v>
      </c>
      <c r="BD17" s="136">
        <f t="shared" ref="BD17:BD22" si="12">IF(ISNUMBER(BA17/AZ17),BA17/AZ17," - ")</f>
        <v>1.4361702127659575</v>
      </c>
      <c r="BE17" s="137">
        <f t="shared" ref="BE17:BE22" si="13">IF(ISNUMBER(BB17/BA17),BB17/BA17, " - ")</f>
        <v>0.72962962962962963</v>
      </c>
      <c r="BF17" s="137">
        <f t="shared" ref="BF17:BF22" si="14">IF(ISNUMBER(BC17/BA17),BC17/BA17, " - ")</f>
        <v>8.5185185185185183E-2</v>
      </c>
      <c r="BG17" s="209">
        <f t="shared" si="11"/>
        <v>1.711111111111111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18</v>
      </c>
      <c r="K18" s="196">
        <v>21</v>
      </c>
      <c r="L18" s="196">
        <v>13</v>
      </c>
      <c r="M18" s="196">
        <v>4</v>
      </c>
      <c r="N18" s="196">
        <v>12</v>
      </c>
      <c r="O18" s="196">
        <v>0</v>
      </c>
      <c r="P18" s="196">
        <v>0</v>
      </c>
      <c r="Q18" s="196">
        <v>0</v>
      </c>
      <c r="R18" s="196">
        <v>0</v>
      </c>
      <c r="S18" s="196">
        <v>10</v>
      </c>
      <c r="T18" s="196">
        <v>19</v>
      </c>
      <c r="U18" s="196">
        <v>16</v>
      </c>
      <c r="V18" s="196">
        <v>14</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19</v>
      </c>
      <c r="BA18" s="139">
        <f t="shared" si="15"/>
        <v>16</v>
      </c>
      <c r="BB18" s="139">
        <f t="shared" si="15"/>
        <v>14</v>
      </c>
      <c r="BC18" s="135">
        <f>IF(ISNUMBER(W18),W18," - ")</f>
        <v>1</v>
      </c>
      <c r="BD18" s="136">
        <f>IF(ISNUMBER(BA18/AZ18),BA18/AZ18," - ")</f>
        <v>0.84210526315789469</v>
      </c>
      <c r="BE18" s="137">
        <f>IF(ISNUMBER(BB18/BA18),BB18/BA18, " - ")</f>
        <v>0.875</v>
      </c>
      <c r="BF18" s="137">
        <f>IF(ISNUMBER(BC18/BA18),BC18/BA18, " - ")</f>
        <v>6.25E-2</v>
      </c>
      <c r="BG18" s="209">
        <f>IF(ISNUMBER((AY18+AZ18)/BA18),(AY18+AZ18)/BA18," - ")</f>
        <v>1.8125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177</v>
      </c>
      <c r="J23" s="197">
        <f t="shared" si="21"/>
        <v>303</v>
      </c>
      <c r="K23" s="197">
        <f t="shared" si="21"/>
        <v>275</v>
      </c>
      <c r="L23" s="197">
        <f t="shared" si="21"/>
        <v>209</v>
      </c>
      <c r="M23" s="197">
        <f t="shared" si="21"/>
        <v>34</v>
      </c>
      <c r="N23" s="197">
        <f t="shared" si="21"/>
        <v>201</v>
      </c>
      <c r="O23" s="197">
        <f t="shared" si="21"/>
        <v>0</v>
      </c>
      <c r="P23" s="197">
        <f t="shared" si="21"/>
        <v>0</v>
      </c>
      <c r="Q23" s="197">
        <f t="shared" si="21"/>
        <v>0</v>
      </c>
      <c r="R23" s="197">
        <f t="shared" si="21"/>
        <v>67</v>
      </c>
      <c r="S23" s="197">
        <f t="shared" si="21"/>
        <v>284</v>
      </c>
      <c r="T23" s="197">
        <f t="shared" si="21"/>
        <v>207</v>
      </c>
      <c r="U23" s="197">
        <f t="shared" si="21"/>
        <v>286</v>
      </c>
      <c r="V23" s="197">
        <f t="shared" si="21"/>
        <v>211</v>
      </c>
      <c r="W23" s="197">
        <f t="shared" si="21"/>
        <v>24</v>
      </c>
      <c r="X23" s="197">
        <f t="shared" si="21"/>
        <v>241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284</v>
      </c>
      <c r="AZ23" s="197">
        <f>SUBTOTAL(9,AZ15:AZ22)</f>
        <v>207</v>
      </c>
      <c r="BA23" s="197">
        <f>SUBTOTAL(9,BA15:BA22)</f>
        <v>286</v>
      </c>
      <c r="BB23" s="197">
        <f>SUBTOTAL(9,BB15:BB22)</f>
        <v>211</v>
      </c>
      <c r="BC23" s="197">
        <f>SUBTOTAL(9,BC15:BC22)</f>
        <v>24</v>
      </c>
      <c r="BD23" s="219">
        <f>IF(ISNUMBER(BA23/AZ23),BA23/AZ23," - ")</f>
        <v>1.3816425120772946</v>
      </c>
      <c r="BE23" s="220">
        <f>IF(ISNUMBER(BB23/BA23),BB23/BA23, " - ")</f>
        <v>0.73776223776223782</v>
      </c>
      <c r="BF23" s="220">
        <f>IF(ISNUMBER(BC23/BA23),BC23/BA23, " - ")</f>
        <v>8.3916083916083919E-2</v>
      </c>
      <c r="BG23" s="221">
        <f>IF(ISNUMBER((AY23+AZ23)/BA23),(AY23+AZ23)/BA23," - ")</f>
        <v>1.7167832167832169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459</v>
      </c>
      <c r="J31" s="144">
        <f t="shared" si="36"/>
        <v>453</v>
      </c>
      <c r="K31" s="144">
        <f t="shared" si="36"/>
        <v>370</v>
      </c>
      <c r="L31" s="144">
        <f t="shared" si="36"/>
        <v>546</v>
      </c>
      <c r="M31" s="144">
        <f t="shared" si="36"/>
        <v>59</v>
      </c>
      <c r="N31" s="144">
        <f t="shared" si="36"/>
        <v>247</v>
      </c>
      <c r="O31" s="144">
        <f t="shared" si="36"/>
        <v>26</v>
      </c>
      <c r="P31" s="144">
        <f t="shared" si="36"/>
        <v>22</v>
      </c>
      <c r="Q31" s="144">
        <f t="shared" si="36"/>
        <v>9</v>
      </c>
      <c r="R31" s="144">
        <f t="shared" si="36"/>
        <v>432</v>
      </c>
      <c r="S31" s="144">
        <f t="shared" si="36"/>
        <v>514</v>
      </c>
      <c r="T31" s="144">
        <f t="shared" si="36"/>
        <v>334</v>
      </c>
      <c r="U31" s="144">
        <f t="shared" si="36"/>
        <v>397</v>
      </c>
      <c r="V31" s="144">
        <f t="shared" si="36"/>
        <v>457</v>
      </c>
      <c r="W31" s="144">
        <f t="shared" si="36"/>
        <v>44</v>
      </c>
      <c r="X31" s="144">
        <f t="shared" si="36"/>
        <v>300</v>
      </c>
      <c r="Y31" s="144">
        <f t="shared" si="36"/>
        <v>7</v>
      </c>
      <c r="Z31" s="144">
        <f t="shared" si="36"/>
        <v>7</v>
      </c>
      <c r="AA31" s="144">
        <f t="shared" si="36"/>
        <v>6</v>
      </c>
      <c r="AB31" s="144">
        <f t="shared" si="36"/>
        <v>8</v>
      </c>
      <c r="AC31" s="144">
        <f t="shared" si="36"/>
        <v>0</v>
      </c>
      <c r="AD31" s="144">
        <f t="shared" si="36"/>
        <v>0</v>
      </c>
      <c r="AE31" s="144">
        <f t="shared" si="36"/>
        <v>0</v>
      </c>
      <c r="AF31" s="144">
        <f t="shared" si="36"/>
        <v>0</v>
      </c>
      <c r="AG31" s="144">
        <f t="shared" si="36"/>
        <v>4</v>
      </c>
      <c r="AH31" s="144">
        <f t="shared" si="36"/>
        <v>3</v>
      </c>
      <c r="AI31" s="144">
        <f t="shared" si="36"/>
        <v>5</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518</v>
      </c>
      <c r="AZ31" s="144">
        <f>SUBTOTAL(9,AZ9:AZ30)</f>
        <v>337</v>
      </c>
      <c r="BA31" s="144">
        <f>SUBTOTAL(9,BA9:BA30)</f>
        <v>402</v>
      </c>
      <c r="BB31" s="144">
        <f>SUBTOTAL(9,BB9:BB30)</f>
        <v>459</v>
      </c>
      <c r="BC31" s="145">
        <f>SUBTOTAL(9,BC9:BC30)</f>
        <v>81</v>
      </c>
      <c r="BD31" s="227">
        <f>IF(ISNUMBER(BA31/AZ31),BA31/AZ31," - ")</f>
        <v>1.1928783382789319</v>
      </c>
      <c r="BE31" s="224">
        <f>IF(ISNUMBER(BB31/BA31),BB31/BA31, " - ")</f>
        <v>1.1417910447761195</v>
      </c>
      <c r="BF31" s="224">
        <f>IF(ISNUMBER(BC31/BA31),BC31/BA31, " - ")</f>
        <v>0.20149253731343283</v>
      </c>
      <c r="BG31" s="145">
        <f>IF(ISNUMBER((AY31+AZ31)/BA31),(AY31+AZ31)/BA31," - ")</f>
        <v>2.1268656716417911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c/2qFRKdUQhG7ZOpMBeZ3ysQWkKUzq+z5ShqgTKAa0Aw6p8/t4oAD2rQUSrO8WThMFfi3wffSW2ePGd2pBPw==" saltValue="Ho7pZ97XSFjpR89+TBuw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vWI2A4FTjEA7nGwrYhlDL9tKSwOIeYRdvyjVDZRlQKsMYzCqBU1RwLeRUMaq0gYUY0j7fr3S8aiSHS7wjL8Iw==" saltValue="3BX/IcsBx7a1/VP0l/zu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GANDESA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361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0.6387096774193548</v>
      </c>
      <c r="BH12" s="764">
        <f>IF(ISNUMBER(((IF(J_V="SI",Datos!L12/Datos!K12,(Datos!L12+Datos!AB12)/(Datos!K12+Datos!AA12)))*11)/factor_trimestre),((IF(J_V="SI",Datos!L12/Datos!K12,(Datos!L12+Datos!AB12)/(Datos!K12+Datos!AA12)))*11)/factor_trimestre," - ")</f>
        <v>6.7070707070707067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3.7356321839080463E-2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v>
      </c>
      <c r="AD14" s="1198">
        <f t="shared" si="2"/>
        <v>0</v>
      </c>
      <c r="AE14" s="1198">
        <f t="shared" si="2"/>
        <v>0</v>
      </c>
      <c r="AF14" s="1198">
        <f t="shared" si="2"/>
        <v>13</v>
      </c>
      <c r="AG14" s="1198">
        <f t="shared" si="2"/>
        <v>0</v>
      </c>
      <c r="AH14" s="1198">
        <f t="shared" si="2"/>
        <v>8</v>
      </c>
      <c r="AI14" s="1198">
        <f t="shared" si="2"/>
        <v>0</v>
      </c>
      <c r="AJ14" s="1198">
        <f t="shared" si="2"/>
        <v>0</v>
      </c>
      <c r="AK14" s="1198">
        <f t="shared" si="2"/>
        <v>0</v>
      </c>
      <c r="AL14" s="1198">
        <f t="shared" si="2"/>
        <v>0</v>
      </c>
      <c r="AM14" s="1198">
        <f t="shared" si="2"/>
        <v>365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46</v>
      </c>
      <c r="BE14" s="1198">
        <f t="shared" si="2"/>
        <v>0</v>
      </c>
      <c r="BF14" s="1198">
        <f t="shared" si="2"/>
        <v>0</v>
      </c>
      <c r="BG14" s="1198">
        <f>IF(ISNUMBER(Datos!K14/Datos!J14),Datos!K14/Datos!J14," - ")</f>
        <v>0.6333333333333333</v>
      </c>
      <c r="BH14" s="1202">
        <f>IF(ISNUMBER(((Datos!L14/Datos!K14)*11)/factor_trimestre),((Datos!L14/Datos!K14)*11)/factor_trimestre," - ")</f>
        <v>7.094736842105263</v>
      </c>
      <c r="BI14" s="1198">
        <f>IF(ISNUMBER('Resol  Asuntos'!D14/NºAsuntos!G14),'Resol  Asuntos'!D14/NºAsuntos!G14," - ")</f>
        <v>0.24752475247524752</v>
      </c>
      <c r="BJ14" s="1198" t="str">
        <f>IF(ISNUMBER(Datos!CI14/Datos!CJ14),Datos!CI14/Datos!CJ14," - ")</f>
        <v xml:space="preserve"> - </v>
      </c>
      <c r="BK14" s="1198">
        <f>SUBTOTAL(9,BK8:BK13)</f>
        <v>0</v>
      </c>
      <c r="BL14" s="1198">
        <f>IF(ISNUMBER((I14-AB14+L14)/(F14)),(I14-AB14+L14)/(F14)," - ")</f>
        <v>-0.15384615384615385</v>
      </c>
      <c r="BM14" s="1203">
        <f>SUBTOTAL(9,BM9:BM13)</f>
        <v>3.7356321839080463E-2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165</v>
      </c>
      <c r="G17" s="743">
        <f>IF(ISNUMBER(IF(D_I="SI",Datos!I17,Datos!I17+Datos!AC17)),IF(D_I="SI",Datos!I17,Datos!I17+Datos!AC17)," - ")</f>
        <v>161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254</v>
      </c>
      <c r="AC17" s="240">
        <f>IF(ISNUMBER(Datos!Q17),Datos!Q17," - ")</f>
        <v>0</v>
      </c>
      <c r="AD17" s="374"/>
      <c r="AE17" s="562"/>
      <c r="AF17" s="741">
        <f>IF(ISNUMBER(IF(D_I="SI",Datos!L17,Datos!L17+Datos!AF17)),IF(D_I="SI",Datos!L17,Datos!L17+Datos!AF17)," - ")</f>
        <v>196</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0.89122807017543859</v>
      </c>
      <c r="BH17" s="764">
        <f>IF(ISNUMBER(((IF(D_I="SI",Datos!L17/Datos!K17,(Datos!L17+Datos!AF17)/(Datos!K17+Datos!AE17)))*11)/factor_trimestre),((IF(D_I="SI",Datos!L17/Datos!K17,(Datos!L17+Datos!AF17)/(Datos!K17+Datos!AE17)))*11)/factor_trimestre," - ")</f>
        <v>1.5433070866141732</v>
      </c>
      <c r="BI17" s="266">
        <f>IF(ISNUMBER('Resol  Asuntos'!D17/NºAsuntos!G17),'Resol  Asuntos'!D17/NºAsuntos!G17," - ")</f>
        <v>0.11811023622047244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1.2380952380952381</v>
      </c>
      <c r="BI18" s="763">
        <f>IF(ISNUMBER('Resol  Asuntos'!D18/NºAsuntos!G18),'Resol  Asuntos'!D18/NºAsuntos!G18," - ")</f>
        <v>0.19047619047619047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165</v>
      </c>
      <c r="G23" s="1197">
        <f>SUBTOTAL(9,G16:G22)</f>
        <v>177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275</v>
      </c>
      <c r="AC23" s="1198">
        <f t="shared" si="5"/>
        <v>0</v>
      </c>
      <c r="AD23" s="1198">
        <f t="shared" si="5"/>
        <v>0</v>
      </c>
      <c r="AE23" s="1198">
        <f t="shared" si="5"/>
        <v>0</v>
      </c>
      <c r="AF23" s="1198">
        <f t="shared" si="5"/>
        <v>209</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201</v>
      </c>
      <c r="BE23" s="1198">
        <f t="shared" si="5"/>
        <v>0</v>
      </c>
      <c r="BF23" s="1198">
        <f t="shared" si="5"/>
        <v>0</v>
      </c>
      <c r="BG23" s="1198">
        <f>IF(ISNUMBER(Datos!K23/Datos!J23),Datos!K23/Datos!J23," - ")</f>
        <v>0.90759075907590758</v>
      </c>
      <c r="BH23" s="1202">
        <f>IF(ISNUMBER(((Datos!L23/Datos!K23)*11)/factor_trimestre),((Datos!L23/Datos!K23)*11)/factor_trimestre," - ")</f>
        <v>1.5199999999999998</v>
      </c>
      <c r="BI23" s="1198">
        <f>SUBTOTAL(9,BI16:BI22)</f>
        <v>0.30858642669666292</v>
      </c>
      <c r="BJ23" s="1198">
        <f>SUBTOTAL(9,BJ16:BJ22)</f>
        <v>0</v>
      </c>
      <c r="BK23" s="1198">
        <f>SUBTOTAL(9,BK16:BK22)</f>
        <v>0</v>
      </c>
      <c r="BL23" s="1198">
        <f>IF(ISNUMBER((I23-AB23+L23)/(F23)),(I23-AB23+L23)/(F23)," - ")</f>
        <v>-1.6666666666666667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178</v>
      </c>
      <c r="G31" s="1117">
        <f t="shared" si="18"/>
        <v>190</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277</v>
      </c>
      <c r="AC31" s="1118">
        <f t="shared" si="19"/>
        <v>9</v>
      </c>
      <c r="AD31" s="1118">
        <f t="shared" si="19"/>
        <v>0</v>
      </c>
      <c r="AE31" s="1118">
        <f t="shared" si="19"/>
        <v>0</v>
      </c>
      <c r="AF31" s="1125">
        <f t="shared" si="19"/>
        <v>222</v>
      </c>
      <c r="AG31" s="1125">
        <f t="shared" si="19"/>
        <v>0</v>
      </c>
      <c r="AH31" s="1125">
        <f t="shared" si="19"/>
        <v>8</v>
      </c>
      <c r="AI31" s="1125">
        <f t="shared" si="19"/>
        <v>0</v>
      </c>
      <c r="AJ31" s="1118">
        <f t="shared" si="19"/>
        <v>0</v>
      </c>
      <c r="AK31" s="1125">
        <f t="shared" si="19"/>
        <v>0</v>
      </c>
      <c r="AL31" s="1125">
        <f t="shared" si="19"/>
        <v>0</v>
      </c>
      <c r="AM31" s="1125">
        <f t="shared" si="19"/>
        <v>432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247</v>
      </c>
      <c r="BE31" s="1117">
        <f t="shared" si="19"/>
        <v>0</v>
      </c>
      <c r="BF31" s="1127">
        <f t="shared" si="19"/>
        <v>0</v>
      </c>
      <c r="BG31" s="1223">
        <f>IF(ISNUMBER(Datos!K31/Datos!J31),Datos!K31/Datos!J31," - ")</f>
        <v>0.81677704194260481</v>
      </c>
      <c r="BH31" s="1223">
        <f>IF(ISNUMBER(((Datos!L31/Datos!K31)*11)/factor_trimestre),((Datos!L31/Datos!K31)*11)/factor_trimestre," - ")</f>
        <v>2.9513513513513514</v>
      </c>
      <c r="BI31" s="1103">
        <f>IF(ISNUMBER(Datos!J31/Datos!I31),Datos!J31/Datos!I31," - ")</f>
        <v>0.98692810457516345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-1.5561797752808988</v>
      </c>
      <c r="BM31" s="1188">
        <f>IF(ISNUMBER((Datos!P31-Datos!Q31+R31)/(Datos!R31-Datos!P31+Datos!Q31-R31)),(Datos!P31-Datos!Q31+R31)/(Datos!R31-Datos!P31+Datos!Q31-R31)," - ")</f>
        <v>3.1026252983293555E-2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82.055265928925394</v>
      </c>
      <c r="G33" s="674">
        <f>IF(ISNUMBER(STDEV(G8:G30)),STDEV(G8:G30),"-")</f>
        <v>78.756405635169941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126.98087595044719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14.587176364386435</v>
      </c>
      <c r="BD33" s="673"/>
      <c r="BE33" s="673">
        <f>IF(ISNUMBER(STDEV(BE8:BE30)),STDEV(BE8:BE30),"-")</f>
        <v>0</v>
      </c>
      <c r="BF33" s="678">
        <f>IF(ISNUMBER(STDEV(BF8:BF30)),STDEV(BF8:BF30),"-")</f>
        <v>0</v>
      </c>
      <c r="BG33" s="1052">
        <f>IF(ISNUMBER(STDEV(BG8:BG30)),STDEV(BG8:BG30),"-")</f>
        <v>0.20795668952064955</v>
      </c>
      <c r="BH33" s="1058">
        <f>IF(ISNUMBER(STDEV(BH8:BH30)),STDEV(BH8:BH30),"-")</f>
        <v>4.6756864915018808</v>
      </c>
      <c r="BI33" s="273">
        <f>IF(ISNUMBER(STDEV(BI8:BI30)),STDEV(BI8:BI30),"-")</f>
        <v>8.1239984960228814E-2</v>
      </c>
      <c r="BJ33" s="244" t="str">
        <f>IF(ISNUMBER(BL33/BM33),BL33/BM33," - ")</f>
        <v xml:space="preserve"> - </v>
      </c>
      <c r="BK33" s="709"/>
      <c r="BL33" s="681">
        <f>IF(ISNUMBER(STDEV(BL8:BL30)),STDEV(BL8:BL30),"-")</f>
        <v>1.069725643333495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LL69Oz3wMS24bl/Hr9y1SJlE99/a1AdqnhufQs+zQTwmPRgWowMLV6a/ZQpABllTC1r2yRDy6P8C9KW4psAHw==" saltValue="dpD6PgnXPWx5SCHRKXgl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GANDESA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361</v>
      </c>
      <c r="AF12" s="693" t="str">
        <f>IF(ISNUMBER(Datos!BV12),Datos!BV12," - ")</f>
        <v xml:space="preserve"> - </v>
      </c>
      <c r="AG12" s="552" t="str">
        <f>IF(ISNUMBER(Datos!DV12),Datos!DV12," - ")</f>
        <v xml:space="preserve"> - </v>
      </c>
      <c r="AH12" s="553"/>
      <c r="AI12" s="554"/>
      <c r="AJ12" s="552">
        <f>IF(ISNUMBER(Datos!M12),Datos!M12," - ")</f>
        <v>23</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6.7070707070707067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3.7356321839080463E-2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v>
      </c>
      <c r="AA14" s="1199">
        <f t="shared" si="3"/>
        <v>13</v>
      </c>
      <c r="AB14" s="1199">
        <f t="shared" si="3"/>
        <v>0</v>
      </c>
      <c r="AC14" s="1199">
        <f t="shared" si="3"/>
        <v>0</v>
      </c>
      <c r="AD14" s="1199">
        <f t="shared" si="3"/>
        <v>0</v>
      </c>
      <c r="AE14" s="1199">
        <f t="shared" si="3"/>
        <v>365</v>
      </c>
      <c r="AF14" s="1211">
        <f t="shared" si="3"/>
        <v>0</v>
      </c>
      <c r="AG14" s="1211">
        <f t="shared" si="3"/>
        <v>0</v>
      </c>
      <c r="AH14" s="1211">
        <f t="shared" si="3"/>
        <v>0</v>
      </c>
      <c r="AI14" s="1211">
        <f t="shared" si="3"/>
        <v>0</v>
      </c>
      <c r="AJ14" s="1211">
        <f t="shared" si="3"/>
        <v>25</v>
      </c>
      <c r="AK14" s="1211">
        <f t="shared" si="3"/>
        <v>46</v>
      </c>
      <c r="AL14" s="1211">
        <f t="shared" si="3"/>
        <v>0</v>
      </c>
      <c r="AM14" s="1211">
        <f t="shared" si="3"/>
        <v>0</v>
      </c>
      <c r="AN14" s="1211">
        <f t="shared" si="3"/>
        <v>0</v>
      </c>
      <c r="AO14" s="1203">
        <f>IF(ISNUMBER(((NºAsuntos!I14/NºAsuntos!G14)*11)/factor_trimestre),((NºAsuntos!I14/NºAsuntos!G14)*11)/factor_trimestre," - ")</f>
        <v>6.8316831683168315</v>
      </c>
      <c r="AP14" s="1213" t="str">
        <f>IF(ISNUMBER(Datos!CI14/Datos!CJ14),Datos!CI14/Datos!CJ14," - ")</f>
        <v xml:space="preserve"> - </v>
      </c>
      <c r="AQ14" s="1236">
        <f t="shared" ref="AQ14:AV14" si="4">SUBTOTAL(9,AQ9:AQ13)</f>
        <v>0</v>
      </c>
      <c r="AR14" s="1236">
        <f t="shared" si="4"/>
        <v>3.7356321839080463E-2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165</v>
      </c>
      <c r="G17" s="552">
        <f>IF(ISNUMBER(IF(D_I="SI",Datos!I17,Datos!I17+Datos!AC17)),IF(D_I="SI",Datos!I17,Datos!I17+Datos!AC17)," - ")</f>
        <v>161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254</v>
      </c>
      <c r="Z17" s="805">
        <f>IF(ISNUMBER(Datos!Q17),Datos!Q17," - ")</f>
        <v>0</v>
      </c>
      <c r="AA17" s="551">
        <f>IF(ISNUMBER(IF(D_I="SI",Datos!L17,Datos!L17+Datos!AF17)),IF(D_I="SI",Datos!L17,Datos!L17+Datos!AF17)," - ")</f>
        <v>196</v>
      </c>
      <c r="AB17" s="549"/>
      <c r="AC17" s="549"/>
      <c r="AD17" s="563"/>
      <c r="AE17" s="563">
        <f>IF(ISNUMBER(Datos!R17),Datos!R17," - ")</f>
        <v>67</v>
      </c>
      <c r="AF17" s="693" t="str">
        <f>IF(ISNUMBER(Datos!BV17),Datos!BV17," - ")</f>
        <v xml:space="preserve"> - </v>
      </c>
      <c r="AG17" s="552"/>
      <c r="AH17" s="553"/>
      <c r="AI17" s="554"/>
      <c r="AJ17" s="552">
        <f>IF(ISNUMBER(Datos!M17),Datos!M17," - ")</f>
        <v>30</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1.5433070866141732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1.2380952380952381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165</v>
      </c>
      <c r="G23" s="1197">
        <f>SUBTOTAL(9,G16:G22)</f>
        <v>177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275</v>
      </c>
      <c r="Z23" s="1240">
        <f t="shared" si="6"/>
        <v>0</v>
      </c>
      <c r="AA23" s="1240">
        <f t="shared" si="6"/>
        <v>209</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34</v>
      </c>
      <c r="AK23" s="1240">
        <f t="shared" si="6"/>
        <v>201</v>
      </c>
      <c r="AL23" s="1240">
        <f t="shared" si="6"/>
        <v>0</v>
      </c>
      <c r="AM23" s="1240">
        <f t="shared" si="6"/>
        <v>0</v>
      </c>
      <c r="AN23" s="1240">
        <f t="shared" si="6"/>
        <v>0</v>
      </c>
      <c r="AO23" s="1242">
        <f>IF(ISNUMBER(((NºAsuntos!I23/NºAsuntos!G23)*11)/factor_trimestre),((NºAsuntos!I23/NºAsuntos!G23)*11)/factor_trimestre," - ")</f>
        <v>1.5199999999999998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178</v>
      </c>
      <c r="G31" s="1117">
        <f t="shared" si="12"/>
        <v>190</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277</v>
      </c>
      <c r="Z31" s="1124">
        <f t="shared" si="13"/>
        <v>9</v>
      </c>
      <c r="AA31" s="1125">
        <f t="shared" si="13"/>
        <v>222</v>
      </c>
      <c r="AB31" s="1125">
        <f t="shared" si="13"/>
        <v>0</v>
      </c>
      <c r="AC31" s="1125">
        <f t="shared" si="13"/>
        <v>0</v>
      </c>
      <c r="AD31" s="1126">
        <f t="shared" si="13"/>
        <v>0</v>
      </c>
      <c r="AE31" s="1126">
        <f t="shared" si="13"/>
        <v>432</v>
      </c>
      <c r="AF31" s="1127">
        <f t="shared" si="13"/>
        <v>0</v>
      </c>
      <c r="AG31" s="1128">
        <f t="shared" si="13"/>
        <v>0</v>
      </c>
      <c r="AH31" s="1129">
        <f t="shared" si="13"/>
        <v>0</v>
      </c>
      <c r="AI31" s="1127">
        <f t="shared" si="13"/>
        <v>0</v>
      </c>
      <c r="AJ31" s="1117">
        <f t="shared" si="13"/>
        <v>59</v>
      </c>
      <c r="AK31" s="1117">
        <f t="shared" si="13"/>
        <v>247</v>
      </c>
      <c r="AL31" s="1117">
        <f t="shared" si="13"/>
        <v>0</v>
      </c>
      <c r="AM31" s="1130">
        <f t="shared" si="13"/>
        <v>0</v>
      </c>
      <c r="AN31" s="1120">
        <f>IF(ISNUMBER(Datos!K31/Datos!J31),Datos!K31/Datos!J31," - ")</f>
        <v>0.81677704194260481</v>
      </c>
      <c r="AO31" s="1120">
        <f>IF(ISNUMBER(FIND("06",Criterios!A8,1)),(IF(ISNUMBER(((Datos!R31/Datos!Q31)*11)/factor_trimestre),((Datos!R31/Datos!Q31)*11)/factor_trimestre," - ")),(IF(ISNUMBER(((Datos!L31/Datos!K31)*11)/factor_trimestre),((Datos!L31/Datos!K31)*11)/factor_trimestre," - ")))</f>
        <v>2.9513513513513514</v>
      </c>
      <c r="AP31" s="1131" t="str">
        <f>IF(ISNUMBER(Datos!CI31/Datos!CJ31),Datos!CI31/Datos!CJ31," - ")</f>
        <v xml:space="preserve"> - </v>
      </c>
      <c r="AQ31" s="1131">
        <f>IF(OR(ISNUMBER(FIND("01",Criterios!A8,1)),ISNUMBER(FIND("02",Criterios!A8,1)),ISNUMBER(FIND("03",Criterios!A8,1)),ISNUMBER(FIND("04",Criterios!A8,1))),(J31-Y31+K31)/(F31-K31),(I31-Y31+K31)/(F31-K31))</f>
        <v>-1.5561797752808988</v>
      </c>
      <c r="AR31" s="1131">
        <f>IF(ISNUMBER((Datos!P31-Datos!Q31+O31)/(Datos!R31-Datos!P31+Datos!Q31-O31)),(Datos!P31-Datos!Q31+O31)/(Datos!R31-Datos!P31+Datos!Q31-O31)," - ")</f>
        <v>3.1026252983293555E-2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82.055265928925394</v>
      </c>
      <c r="G33" s="674">
        <f>IF(ISNUMBER(STDEV(G8:G30)),STDEV(G8:G30),"-")</f>
        <v>78.756405635169941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14.587176364386435</v>
      </c>
      <c r="AK33" s="276"/>
      <c r="AL33" s="276">
        <f>IF(ISNUMBER(STDEV(AL8:AL30)),STDEV(AL8:AL30),"-")</f>
        <v>0</v>
      </c>
      <c r="AM33" s="278">
        <f>IF(ISNUMBER(STDEV(AM8:AM30)),STDEV(AM8:AM30),"-")</f>
        <v>0</v>
      </c>
      <c r="AN33" s="660">
        <f>IF(ISNUMBER(STDEV(AN8:AN30)),STDEV(AN8:AN30),"-")</f>
        <v>0</v>
      </c>
      <c r="AO33" s="661">
        <f>IF(ISNUMBER(STDEV(AO8:AO30)),STDEV(AO8:AO30),"-")</f>
        <v>4.6553745976673895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KIIqQywgUDhaUpNoVSwpqbM8EJUsxyp/dtqJSKC7u8IoP9YU8G+vYwijLG+LOiSOQovHqrhbbH+PyABvValkQ==" saltValue="eRNKvRu6YBsXYT8ynP4B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WrNm/mTIHo8noZzRbmCLhApx3utR38WdujdQVJHoWoJoLPG7X+gLAPXR+toWsyi+QwKL4+BukCXJm1gNW+CRA==" saltValue="w8lsKpV9XocNW/2CMl5X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VhUORAXRzXs4MCjKdLHVF+jD0VclW8+CNLd7OJanxhYgyqqh705o/vPIEzLpds+HXilNq8a9dp1eZz0ZnLFA==" saltValue="LIpXKsnB2hI2TNezlkDA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GANDESA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0.24752475247524752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0.17502643098676918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SdLhahGKSjCrSW9ZNIDLUCBco1OFr6s2Fk1q0xMI0UsllBs4F3rNh9Q3jcMmouqyQDpQF8z+WJeu+UCLDFviA==" saltValue="EJM2IJ9Bw93a49HsWz5m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7Dvt7uS9XmU3jXqKAl+ZTHhpZq+1ghuFafPaw4hCQmC3TV95Fu10ohVOUk9jH+432YOWA9ltfqSDkVITCUHLA==" saltValue="/7mlec/ZCIo20B+9o+jg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GANDESA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v>
      </c>
      <c r="F10" s="452">
        <f>IF(ISNUMBER(E10/B10),E10/B10," - ")</f>
        <v>2</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276</v>
      </c>
      <c r="D12" s="452">
        <f>IF(ISNUMBER(C12/Datos!BH12),C12/Datos!BH12," - ")</f>
        <v>276</v>
      </c>
      <c r="E12" s="451">
        <f>IF(ISNUMBER(IF(J_V="SI",Datos!J12,Datos!J12+Datos!Z12)),IF(J_V="SI",Datos!J12,Datos!J12+Datos!Z12)," - ")</f>
        <v>155</v>
      </c>
      <c r="F12" s="452">
        <f>IF(ISNUMBER(E12/B12),E12/B12," - ")</f>
        <v>155</v>
      </c>
      <c r="G12" s="451">
        <f>IF(ISNUMBER(IF(J_V="SI",Datos!K12,Datos!K12+Datos!AA12)),IF(J_V="SI",Datos!K12,Datos!K12+Datos!AA12)," - ")</f>
        <v>99</v>
      </c>
      <c r="H12" s="452">
        <f>IF(ISNUMBER(G12/B12),G12/B12," - ")</f>
        <v>99</v>
      </c>
      <c r="I12" s="451">
        <f>IF(ISNUMBER(IF(J_V="SI",Datos!L12,Datos!L12+Datos!AB12)),IF(J_V="SI",Datos!L12,Datos!L12+Datos!AB12)," - ")</f>
        <v>332</v>
      </c>
      <c r="J12" s="452">
        <f>IF(ISNUMBER(I12/B12),I12/B12," - ")</f>
        <v>332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289</v>
      </c>
      <c r="D14" s="1147" t="str">
        <f>IF(ISNUMBER(C14/Datos!BI14),C14/Datos!BI14," - ")</f>
        <v xml:space="preserve"> - </v>
      </c>
      <c r="E14" s="1146">
        <f>SUBTOTAL(9,E8:E13)</f>
        <v>157</v>
      </c>
      <c r="F14" s="1147">
        <f>IF(ISNUMBER(E14/B14),E14/B14," - ")</f>
        <v>157</v>
      </c>
      <c r="G14" s="1146">
        <f>SUBTOTAL(9,G8:G13)</f>
        <v>101</v>
      </c>
      <c r="H14" s="1147">
        <f>IF(ISNUMBER(G14/B14),G14/B14," - ")</f>
        <v>101</v>
      </c>
      <c r="I14" s="1146">
        <f>SUBTOTAL(9,I8:I13)</f>
        <v>345</v>
      </c>
      <c r="J14" s="1147">
        <f>IF(ISNUMBER(I14/B14),I14/B14," - ")</f>
        <v>345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161</v>
      </c>
      <c r="D17" s="452">
        <f>IF(ISNUMBER(C17/Datos!BH17),C17/Datos!BH17," - ")</f>
        <v>161</v>
      </c>
      <c r="E17" s="451">
        <f>IF(ISNUMBER(IF(D_I="SI",Datos!J17,Datos!J17+Datos!AD17)),IF(D_I="SI",Datos!J17,Datos!J17+Datos!AD17)," - ")</f>
        <v>285</v>
      </c>
      <c r="F17" s="452">
        <f>IF(ISNUMBER(E17/B17),E17/B17," - ")</f>
        <v>285</v>
      </c>
      <c r="G17" s="451">
        <f>IF(ISNUMBER(IF(D_I="SI",Datos!K17,Datos!K17+Datos!AE17)),IF(D_I="SI",Datos!K17,Datos!K17+Datos!AE17)," - ")</f>
        <v>254</v>
      </c>
      <c r="H17" s="452">
        <f>IF(ISNUMBER(G17/B17),G17/B17," - ")</f>
        <v>254</v>
      </c>
      <c r="I17" s="451">
        <f>IF(ISNUMBER(IF(D_I="SI",Datos!L17,Datos!L17+Datos!AF17)),IF(D_I="SI",Datos!L17,Datos!L17+Datos!AF17)," - ")</f>
        <v>196</v>
      </c>
      <c r="J17" s="452">
        <f>IF(ISNUMBER(I17/B17),I17/B17," - ")</f>
        <v>196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18</v>
      </c>
      <c r="F18" s="452">
        <f>IF(ISNUMBER(E18/B18),E18/B18," - ")</f>
        <v>18</v>
      </c>
      <c r="G18" s="451">
        <f>IF(ISNUMBER(IF(D_I="SI",Datos!K18,Datos!K18+Datos!AE18)),IF(D_I="SI",Datos!K18,Datos!K18+Datos!AE18)," - ")</f>
        <v>21</v>
      </c>
      <c r="H18" s="452">
        <f>IF(ISNUMBER(G18/B18),G18/B18," - ")</f>
        <v>21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177</v>
      </c>
      <c r="D23" s="1147" t="str">
        <f>IF(ISNUMBER(C23/Datos!BI23),C23/Datos!BI23," - ")</f>
        <v xml:space="preserve"> - </v>
      </c>
      <c r="E23" s="1146">
        <f>SUBTOTAL(9,E15:E22)</f>
        <v>303</v>
      </c>
      <c r="F23" s="1147">
        <f>IF(ISNUMBER(E23/B23),E23/B23," - ")</f>
        <v>303</v>
      </c>
      <c r="G23" s="1146">
        <f>SUBTOTAL(9,G15:G22)</f>
        <v>275</v>
      </c>
      <c r="H23" s="1147">
        <f>IF(ISNUMBER(G23/B23),G23/B23," - ")</f>
        <v>275</v>
      </c>
      <c r="I23" s="1146">
        <f>SUBTOTAL(9,I15:I22)</f>
        <v>209</v>
      </c>
      <c r="J23" s="1147">
        <f>IF(ISNUMBER(I23/B23),I23/B23," - ")</f>
        <v>209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466</v>
      </c>
      <c r="D31" s="1085" t="str">
        <f>IF(ISNUMBER(C31/Datos!BI31),C31/Datos!BI31," - ")</f>
        <v xml:space="preserve"> - </v>
      </c>
      <c r="E31" s="1084">
        <f>SUBTOTAL(9,E9:E30)</f>
        <v>460</v>
      </c>
      <c r="F31" s="1085">
        <f>IF(ISNUMBER(E31/B31),E31/B31," - ")</f>
        <v>460</v>
      </c>
      <c r="G31" s="1084">
        <f>SUBTOTAL(9,G9:G30)</f>
        <v>376</v>
      </c>
      <c r="H31" s="1085">
        <f>IF(ISNUMBER(G31/B31),G31/B31," - ")</f>
        <v>376</v>
      </c>
      <c r="I31" s="1084">
        <f>SUBTOTAL(9,I9:I30)</f>
        <v>554</v>
      </c>
      <c r="J31" s="1085">
        <f>IF(ISNUMBER(I31/B31),I31/B31," - ")</f>
        <v>554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qOWMkzZ48FYuNBSdIhvl24BTFgmJg6PZHM3XJUiRxhlVgOC/SZyPoGFmOigMnG9+4SZNQx81tDP35f+wsDWDw==" saltValue="CKFiIWFBv7J5c+i8e+Bk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GANDESA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6.7070707070707067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3.7356321839080463E-2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v>
      </c>
      <c r="AE14" s="1257">
        <f t="shared" si="1"/>
        <v>0</v>
      </c>
      <c r="AF14" s="1257">
        <f t="shared" si="1"/>
        <v>13</v>
      </c>
      <c r="AG14" s="1257">
        <f t="shared" si="1"/>
        <v>0</v>
      </c>
      <c r="AH14" s="1257">
        <f t="shared" si="1"/>
        <v>361</v>
      </c>
      <c r="AI14" s="1257">
        <f t="shared" si="1"/>
        <v>0</v>
      </c>
      <c r="AJ14" s="1257">
        <f t="shared" si="1"/>
        <v>0</v>
      </c>
      <c r="AK14" s="1257">
        <f t="shared" si="1"/>
        <v>0</v>
      </c>
      <c r="AL14" s="1257">
        <f t="shared" si="1"/>
        <v>25</v>
      </c>
      <c r="AM14" s="1257">
        <f t="shared" si="1"/>
        <v>46</v>
      </c>
      <c r="AN14" s="1257">
        <f t="shared" si="1"/>
        <v>0</v>
      </c>
      <c r="AO14" s="1257">
        <f t="shared" si="1"/>
        <v>0</v>
      </c>
      <c r="AP14" s="1262">
        <f>IF(ISNUMBER(((Datos!L14/Datos!K14)*11)/factor_trimestre),((Datos!L14/Datos!K14)*11)/factor_trimestre," - ")</f>
        <v>7.094736842105263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3.7356321839080463E-2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1.5199999999999998</v>
      </c>
      <c r="AQ23" s="1262">
        <f>IF(ISNUMBER(((Datos!M23/Datos!L23)*11)/factor_trimestre),((Datos!M23/Datos!L23)*11)/factor_trimestre," - ")</f>
        <v>0.32535885167464113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-0.19088319088319089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v>
      </c>
      <c r="AE31" s="1284">
        <f t="shared" si="9"/>
        <v>0</v>
      </c>
      <c r="AF31" s="1285">
        <f t="shared" si="9"/>
        <v>13</v>
      </c>
      <c r="AG31" s="1285">
        <f t="shared" si="9"/>
        <v>0</v>
      </c>
      <c r="AH31" s="1285">
        <f t="shared" si="9"/>
        <v>361</v>
      </c>
      <c r="AI31" s="1285">
        <f t="shared" si="9"/>
        <v>0</v>
      </c>
      <c r="AJ31" s="1286">
        <f t="shared" si="9"/>
        <v>0</v>
      </c>
      <c r="AK31" s="1286">
        <f t="shared" si="9"/>
        <v>0</v>
      </c>
      <c r="AL31" s="1278">
        <f t="shared" si="9"/>
        <v>25</v>
      </c>
      <c r="AM31" s="1278">
        <f t="shared" si="9"/>
        <v>46</v>
      </c>
      <c r="AN31" s="1278">
        <f t="shared" si="9"/>
        <v>0</v>
      </c>
      <c r="AO31" s="1278">
        <f t="shared" si="9"/>
        <v>0</v>
      </c>
      <c r="AP31" s="1278">
        <f>IF(ISNUMBER(((Datos!L31/Datos!K31)*11)/factor_trimestre),((Datos!L31/Datos!K31)*11)/factor_trimestre," - ")</f>
        <v>2.9513513513513514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3.1026252983293555E-2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12.176480060619598</v>
      </c>
      <c r="AM33" s="1006"/>
      <c r="AN33" s="1006">
        <f>IF(ISNUMBER(STDEV(AN8:AN30)),STDEV(AN8:AN30),"-")</f>
        <v>0</v>
      </c>
      <c r="AO33" s="1012">
        <f>IF(ISNUMBER(STDEV(AO8:AO30)),STDEV(AO8:AO30),"-")</f>
        <v>0</v>
      </c>
      <c r="AP33" s="1065">
        <f>IF(ISNUMBER(STDEV(AP8:AP30)),STDEV(AP8:AP30),"-")</f>
        <v>4.6939426432808586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jKWBFW+EF0nAmc9FkB84b0Ls5dnypUEn2OhYeEiU8Q5MJOFiI5qH0ufse9eAWCOT6nmRHkMM8tWRYpnJqKWGw==" saltValue="a6P4qnT+BqQpQy4JQNXF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GANDESA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bi57OtFaMYTziMcW76ohfz5Bqn6XMBywVSyWF5BdGZC8jJq1p2Z6f2lRx4IBpC97u5BJvd7+gNPPr5h6KrGCQ==" saltValue="uFxHDPkPZC9Ls2dpAqeY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GANDESA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46</v>
      </c>
      <c r="G12" s="452">
        <f t="shared" si="1"/>
        <v>46</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46</v>
      </c>
      <c r="G14" s="1147">
        <f t="shared" si="1"/>
        <v>23</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189</v>
      </c>
      <c r="G17" s="452">
        <f t="shared" si="4"/>
        <v>189</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201</v>
      </c>
      <c r="G23" s="1147">
        <f t="shared" si="4"/>
        <v>100.5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59</v>
      </c>
      <c r="E31" s="1085">
        <f>IF(ISNUMBER(D31/B31),D31/B31," - ")</f>
        <v>59</v>
      </c>
      <c r="F31" s="1084">
        <f>SUBTOTAL(9,F8:F30)</f>
        <v>247</v>
      </c>
      <c r="G31" s="1085">
        <f>IF(ISNUMBER(F31/B31),F31/B31," - ")</f>
        <v>247</v>
      </c>
      <c r="H31" s="1084">
        <f>SUBTOTAL(9,H8:H30)</f>
        <v>26</v>
      </c>
      <c r="I31" s="1085">
        <f>IF(ISNUMBER(H31/B31),H31/B31," - ")</f>
        <v>26</v>
      </c>
    </row>
    <row r="34" spans="1:1">
      <c r="A34" s="439" t="str">
        <f>Criterios!A4</f>
        <v>Fecha Informe: 06 may. 2023</v>
      </c>
    </row>
    <row r="39" spans="1:1">
      <c r="A39" s="462"/>
    </row>
  </sheetData>
  <sheetProtection algorithmName="SHA-512" hashValue="mibV0+qmA3sXzbJRCfB6yX/hjhhKXM06Bo7H42584Yrk41jzcoEAYTUvKtRFW4iwUe7Hfyx9683NG1pU3CDX2w==" saltValue="Vpy+x2WJN/hTJNg4zQP1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GANDESA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9</v>
      </c>
      <c r="D12" s="456">
        <f>IF(ISNUMBER(Datos!R12),Datos!R12," - ")</f>
        <v>361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9</v>
      </c>
      <c r="D14" s="1148">
        <f>SUBTOTAL(9,D9:D13)</f>
        <v>365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9</v>
      </c>
      <c r="D31" s="1090">
        <f>SUBTOTAL(9,D8:D30)</f>
        <v>432</v>
      </c>
    </row>
    <row r="32" spans="1:4" ht="7.5" customHeight="1"/>
    <row r="33" spans="1:1" ht="6" customHeight="1"/>
    <row r="34" spans="1:1">
      <c r="A34" s="439" t="str">
        <f>Criterios!A4</f>
        <v>Fecha Informe: 06 may. 2023</v>
      </c>
    </row>
    <row r="39" spans="1:1">
      <c r="A39" s="462"/>
    </row>
  </sheetData>
  <sheetProtection algorithmName="SHA-512" hashValue="nd3Xfr4SkdIEyncvFRkZ7VGMGPOHALFvWx2InJxV1H22fAQV/EmgLMf5J2rKYVM57nyzgpFUolN/5Zx5xelJuQ==" saltValue="OEJmNiod520LUviMNR7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GANDESA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0.8571428571428571</v>
      </c>
      <c r="C10" s="515">
        <f>IF(ISNUMBER((Datos!J10-Datos!T10)/Datos!T10),(Datos!J10-Datos!T10)/Datos!T10," - ")</f>
        <v>1</v>
      </c>
      <c r="D10" s="515">
        <f>IF(ISNUMBER((Datos!K10-Datos!U10)/Datos!U10),(Datos!K10-Datos!U10)/Datos!U10," - ")</f>
        <v>-0.33333333333333331</v>
      </c>
      <c r="E10" s="515">
        <f>IF(ISNUMBER((Datos!L10-Datos!V10)/Datos!V10),(Datos!L10-Datos!V10)/Datos!V10," - ")</f>
        <v>1.6</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2.9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1.8125000000000002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0.21585903083700442</v>
      </c>
      <c r="C12" s="515">
        <f>IF(ISNUMBER(
   IF(J_V="SI",(Datos!J12-Datos!T12)/Datos!T12,(Datos!J12+Datos!Z12-(Datos!T12+Datos!AH12))/(Datos!T12+Datos!AH12))
     ),IF(J_V="SI",(Datos!J12-Datos!T12)/Datos!T12,(Datos!J12+Datos!Z12-(Datos!T12+Datos!AH12))/(Datos!T12+Datos!AH12))," - ")</f>
        <v>0.20155038759689922</v>
      </c>
      <c r="D12" s="515">
        <f>IF(ISNUMBER(
   IF(J_V="SI",(Datos!K12-Datos!U12)/Datos!U12,(Datos!K12+Datos!AA12-(Datos!U12+Datos!AI12))/(Datos!U12+Datos!AI12))
     ),IF(J_V="SI",(Datos!K12-Datos!U12)/Datos!U12,(Datos!K12+Datos!AA12-(Datos!U12+Datos!AI12))/(Datos!U12+Datos!AI12))," - ")</f>
        <v>-0.12389380530973451</v>
      </c>
      <c r="E12" s="515">
        <f>IF(ISNUMBER(
   IF(J_V="SI",(Datos!L12-Datos!V12)/Datos!V12,(Datos!L12+Datos!AB12-(Datos!V12+Datos!AJ12))/(Datos!V12+Datos!AJ12))
     ),IF(J_V="SI",(Datos!L12-Datos!V12)/Datos!V12,(Datos!L12+Datos!AB12-(Datos!V12+Datos!AJ12))/(Datos!V12+Datos!AJ12))," - ")</f>
        <v>0.36625514403292181</v>
      </c>
      <c r="F12" s="515">
        <f>IF(ISNUMBER((Datos!M12-Datos!W12)/Datos!W12),(Datos!M12-Datos!W12)/Datos!W12," - ")</f>
        <v>0.15</v>
      </c>
      <c r="G12" s="516">
        <f>IF(ISNUMBER((Datos!N12-Datos!X12)/Datos!X12),(Datos!N12-Datos!X12)/Datos!X12," - ")</f>
        <v>-0.19298245614035087</v>
      </c>
      <c r="H12" s="514">
        <f>IF(ISNUMBER(((NºAsuntos!G12/NºAsuntos!E12)-Datos!BD12)/Datos!BD12),((NºAsuntos!G12/NºAsuntos!E12)-Datos!BD12)/Datos!BD12," - ")</f>
        <v>-0.27085355409648876</v>
      </c>
      <c r="I12" s="515">
        <f>IF(ISNUMBER(((NºAsuntos!I12/NºAsuntos!G12)-Datos!BE12)/Datos!BE12),((NºAsuntos!I12/NºAsuntos!G12)-Datos!BE12)/Datos!BE12," - ")</f>
        <v>0.55946294217899151</v>
      </c>
      <c r="J12" s="521">
        <f>IF(ISNUMBER((('Resol  Asuntos'!D12/NºAsuntos!G12)-Datos!BF12)/Datos!BF12),(('Resol  Asuntos'!D12/NºAsuntos!G12)-Datos!BF12)/Datos!BF12," - ")</f>
        <v>-0.5394293815346447</v>
      </c>
      <c r="K12" s="522">
        <f>IF(ISNUMBER((((NºAsuntos!C12+NºAsuntos!E12)/NºAsuntos!G12)-Datos!BG12)/Datos!BG12),(((NºAsuntos!C12+NºAsuntos!E12)/NºAsuntos!G12)-Datos!BG12)/Datos!BG12," - ")</f>
        <v>0.38188060379071626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0.23504273504273504</v>
      </c>
      <c r="C14" s="1152">
        <f>IF(ISNUMBER(
   IF(J_V="SI",(Datos!J14-Datos!T14)/Datos!T14,(Datos!J14+Datos!Z14-(Datos!T14+Datos!AH14))/(Datos!T14+Datos!AH14))
     ),IF(J_V="SI",(Datos!J14-Datos!T14)/Datos!T14,(Datos!J14+Datos!Z14-(Datos!T14+Datos!AH14))/(Datos!T14+Datos!AH14))," - ")</f>
        <v>0.2076923076923077</v>
      </c>
      <c r="D14" s="1152">
        <f>IF(ISNUMBER(
   IF(J_V="SI",(Datos!K14-Datos!U14)/Datos!U14,(Datos!K14+Datos!AA14-(Datos!U14+Datos!AI14))/(Datos!U14+Datos!AI14))
     ),IF(J_V="SI",(Datos!K14-Datos!U14)/Datos!U14,(Datos!K14+Datos!AA14-(Datos!U14+Datos!AI14))/(Datos!U14+Datos!AI14))," - ")</f>
        <v>-0.12931034482758622</v>
      </c>
      <c r="E14" s="1152">
        <f>IF(ISNUMBER(
   IF(J_V="SI",(Datos!L14-Datos!V14)/Datos!V14,(Datos!L14+Datos!AB14-(Datos!V14+Datos!AJ14))/(Datos!V14+Datos!AJ14))
     ),IF(J_V="SI",(Datos!L14-Datos!V14)/Datos!V14,(Datos!L14+Datos!AB14-(Datos!V14+Datos!AJ14))/(Datos!V14+Datos!AJ14))," - ")</f>
        <v>0.3911290322580645</v>
      </c>
      <c r="F14" s="1153">
        <f>IF(ISNUMBER((Datos!M14-Datos!W14)/Datos!W14),(Datos!M14-Datos!W14)/Datos!W14," - ")</f>
        <v>0.25</v>
      </c>
      <c r="G14" s="1154">
        <f>IF(ISNUMBER((Datos!N14-Datos!X14)/Datos!X14),(Datos!N14-Datos!X14)/Datos!X14," - ")</f>
        <v>-0.22033898305084745</v>
      </c>
      <c r="H14" s="1154">
        <f>IF(ISNUMBER(((NºAsuntos!G14/NºAsuntos!E14)-Datos!BD14)/Datos!BD14),((NºAsuntos!G14/NºAsuntos!E14)-Datos!BD14)/Datos!BD14," - ")</f>
        <v>-0.27904678234131347</v>
      </c>
      <c r="I14" s="1154">
        <f>IF(ISNUMBER(((NºAsuntos!I14/NºAsuntos!G14)-Datos!BE14)/Datos!BE14),((NºAsuntos!I14/NºAsuntos!G14)-Datos!BE14)/Datos!BE14," - ")</f>
        <v>0.59773235388054946</v>
      </c>
      <c r="J14" s="1154">
        <f>IF(ISNUMBER((('Resol  Asuntos'!D14/NºAsuntos!G14)-Datos!BF14)/Datos!BF14),(('Resol  Asuntos'!D14/NºAsuntos!G14)-Datos!BF14)/Datos!BF14," - ")</f>
        <v>-0.49626541601528573</v>
      </c>
      <c r="K14" s="1154">
        <f>IF(ISNUMBER((((NºAsuntos!C14+NºAsuntos!E14)/NºAsuntos!G14)-Datos!BG14)/Datos!BG14),(((NºAsuntos!C14+NºAsuntos!E14)/NºAsuntos!G14)-Datos!BG14)/Datos!BG14," - ")</f>
        <v>0.40724621912740744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-0.41240875912408759</v>
      </c>
      <c r="C17" s="515">
        <f>IF(ISNUMBER(
   IF(D_I="SI",(Datos!J17-Datos!T17)/Datos!T17,(Datos!J17+Datos!AD17-(Datos!T17+Datos!AL17))/(Datos!T17+Datos!AL17))
     ),IF(D_I="SI",(Datos!J17-Datos!T17)/Datos!T17,(Datos!J17+Datos!AD17-(Datos!T17+Datos!AL17))/(Datos!T17+Datos!AL17))," - ")</f>
        <v>0.51595744680851063</v>
      </c>
      <c r="D17" s="515">
        <f>IF(ISNUMBER(
   IF(D_I="SI",(Datos!K17-Datos!U17)/Datos!U17,(Datos!K17+Datos!AE17-(Datos!U17+Datos!AM17))/(Datos!U17+Datos!AM17))
     ),IF(D_I="SI",(Datos!K17-Datos!U17)/Datos!U17,(Datos!K17+Datos!AE17-(Datos!U17+Datos!AM17))/(Datos!U17+Datos!AM17))," - ")</f>
        <v>-5.9259259259259262E-2</v>
      </c>
      <c r="E17" s="515">
        <f>IF(ISNUMBER(
   IF(D_I="SI",(Datos!L17-Datos!V17)/Datos!V17,(Datos!L17+Datos!AF17-(Datos!V17+Datos!AN17))/(Datos!V17+Datos!AN17))
     ),IF(D_I="SI",(Datos!L17-Datos!V17)/Datos!V17,(Datos!L17+Datos!AF17-(Datos!V17+Datos!AN17))/(Datos!V17+Datos!AN17))," - ")</f>
        <v>-5.076142131979695E-3</v>
      </c>
      <c r="F17" s="515">
        <f>IF(ISNUMBER((Datos!M17-Datos!W17)/Datos!W17),(Datos!M17-Datos!W17)/Datos!W17," - ")</f>
        <v>0.30434782608695654</v>
      </c>
      <c r="G17" s="516">
        <f>IF(ISNUMBER((Datos!N17-Datos!X17)/Datos!X17),(Datos!N17-Datos!X17)/Datos!X17," - ")</f>
        <v>-0.18884120171673821</v>
      </c>
      <c r="H17" s="514">
        <f>IF(ISNUMBER(((NºAsuntos!G17/NºAsuntos!E17)-Datos!BD17)/Datos!BD17),((NºAsuntos!G17/NºAsuntos!E17)-Datos!BD17)/Datos!BD17," - ")</f>
        <v>-0.37944119558154649</v>
      </c>
      <c r="I17" s="515">
        <f>IF(ISNUMBER(((NºAsuntos!I17/NºAsuntos!G17)-Datos!BE17)/Datos!BE17),((NºAsuntos!I17/NºAsuntos!G17)-Datos!BE17)/Datos!BE17," - ")</f>
        <v>5.7596226867580591E-2</v>
      </c>
      <c r="J17" s="521">
        <f>IF(ISNUMBER((('Resol  Asuntos'!D17/NºAsuntos!G17)-Datos!BF17)/Datos!BF17),(('Resol  Asuntos'!D17/NºAsuntos!G17)-Datos!BF17)/Datos!BF17," - ")</f>
        <v>0.38651146867511127</v>
      </c>
      <c r="K17" s="522">
        <f>IF(ISNUMBER((((NºAsuntos!C17+NºAsuntos!E17)/NºAsuntos!G17)-Datos!BG17)/Datos!BG17),(((NºAsuntos!C17+NºAsuntos!E17)/NºAsuntos!G17)-Datos!BG17)/Datos!BG17," - ")</f>
        <v>2.6178545863585277E-2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-5.2631578947368418E-2</v>
      </c>
      <c r="D18" s="515">
        <f>IF(ISNUMBER(
   IF(D_I="SI",(Datos!K18-Datos!U18)/Datos!U18,(Datos!K18+Datos!AE18-(Datos!U18+Datos!AM18))/(Datos!U18+Datos!AM18))
     ),IF(D_I="SI",(Datos!K18-Datos!U18)/Datos!U18,(Datos!K18+Datos!AE18-(Datos!U18+Datos!AM18))/(Datos!U18+Datos!AM18))," - ")</f>
        <v>0.3125</v>
      </c>
      <c r="E18" s="515">
        <f>IF(ISNUMBER(
   IF(D_I="SI",(Datos!L18-Datos!V18)/Datos!V18,(Datos!L18+Datos!AF18-(Datos!V18+Datos!AN18))/(Datos!V18+Datos!AN18))
     ),IF(D_I="SI",(Datos!L18-Datos!V18)/Datos!V18,(Datos!L18+Datos!AF18-(Datos!V18+Datos!AN18))/(Datos!V18+Datos!AN18))," - ")</f>
        <v>-7.1428571428571425E-2</v>
      </c>
      <c r="F18" s="515">
        <f>IF(ISNUMBER((Datos!M18-Datos!W18)/Datos!W18),(Datos!M18-Datos!W18)/Datos!W18," - ")</f>
        <v>3</v>
      </c>
      <c r="G18" s="516">
        <f>IF(ISNUMBER((Datos!N18-Datos!X18)/Datos!X18),(Datos!N18-Datos!X18)/Datos!X18," - ")</f>
        <v>0.5</v>
      </c>
      <c r="H18" s="514">
        <f>IF(ISNUMBER(((NºAsuntos!G18/NºAsuntos!E18)-Datos!BD18)/Datos!BD18),((NºAsuntos!G18/NºAsuntos!E18)-Datos!BD18)/Datos!BD18," - ")</f>
        <v>0.38541666666666685</v>
      </c>
      <c r="I18" s="515">
        <f>IF(ISNUMBER(((NºAsuntos!I18/NºAsuntos!G18)-Datos!BE18)/Datos!BE18),((NºAsuntos!I18/NºAsuntos!G18)-Datos!BE18)/Datos!BE18," - ")</f>
        <v>-0.29251700680272108</v>
      </c>
      <c r="J18" s="521">
        <f>IF(ISNUMBER((('Resol  Asuntos'!D18/NºAsuntos!G18)-Datos!BF18)/Datos!BF18),(('Resol  Asuntos'!D18/NºAsuntos!G18)-Datos!BF18)/Datos!BF18," - ")</f>
        <v>2.0476190476190474</v>
      </c>
      <c r="K18" s="522">
        <f>IF(ISNUMBER((((NºAsuntos!C18+NºAsuntos!E18)/NºAsuntos!G18)-Datos!BG18)/Datos!BG18),(((NºAsuntos!C18+NºAsuntos!E18)/NºAsuntos!G18)-Datos!BG18)/Datos!BG18," - ")</f>
        <v>-0.10673234811165845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-0.37676056338028169</v>
      </c>
      <c r="C23" s="1152">
        <f>IF(ISNUMBER(
   IF(Criterios!B14="SI",(Datos!J23-Datos!T23)/Datos!T23,(Datos!J23+Datos!AD23-(Datos!T23+Datos!AL23))/(Datos!T23+Datos!AL23))
     ),IF(Criterios!B14="SI",(Datos!J23-Datos!T23)/Datos!T23,(Datos!J23+Datos!AD23-(Datos!T23+Datos!AL23))/(Datos!T23+Datos!AL23))," - ")</f>
        <v>0.46376811594202899</v>
      </c>
      <c r="D23" s="1152">
        <f>IF(ISNUMBER(
   IF(Criterios!B14="SI",(Datos!K23-Datos!U23)/Datos!U23,(Datos!K23+Datos!AE23-(Datos!U23+Datos!AM23))/(Datos!U23+Datos!AM23))
     ),IF(Criterios!B14="SI",(Datos!K23-Datos!U23)/Datos!U23,(Datos!K23+Datos!AE23-(Datos!U23+Datos!AM23))/(Datos!U23+Datos!AM23))," - ")</f>
        <v>-3.8461538461538464E-2</v>
      </c>
      <c r="E23" s="1152">
        <f>IF(ISNUMBER(
   IF(Criterios!B14="SI",(Datos!L23-Datos!V23)/Datos!V23,(Datos!L23+Datos!AF23-(Datos!V23+Datos!AN23))/(Datos!V23+Datos!AN23))
     ),IF(Criterios!B14="SI",(Datos!L23-Datos!V23)/Datos!V23,(Datos!L23+Datos!AF23-(Datos!V23+Datos!AN23))/(Datos!V23+Datos!AN23))," - ")</f>
        <v>-9.4786729857819912E-3</v>
      </c>
      <c r="F23" s="1153">
        <f>IF(ISNUMBER((Datos!M23-Datos!W23)/Datos!W23),(Datos!M23-Datos!W23)/Datos!W23," - ")</f>
        <v>0.41666666666666669</v>
      </c>
      <c r="G23" s="1154">
        <f>IF(ISNUMBER((Datos!N23-Datos!X23)/Datos!X23),(Datos!N23-Datos!X23)/Datos!X23," - ")</f>
        <v>-0.16597510373443983</v>
      </c>
      <c r="H23" s="1154">
        <f>IF(ISNUMBER(((NºAsuntos!G23/NºAsuntos!E23)-Datos!BD23)/Datos!BD23),((NºAsuntos!G23/NºAsuntos!E23)-Datos!BD23)/Datos!BD23," - ")</f>
        <v>-0.34310738766184307</v>
      </c>
      <c r="I23" s="1154">
        <f>IF(ISNUMBER(((NºAsuntos!I23/NºAsuntos!G23)-Datos!BE23)/Datos!BE23),((NºAsuntos!I23/NºAsuntos!G23)-Datos!BE23)/Datos!BE23," - ")</f>
        <v>3.0142180094786666E-2</v>
      </c>
      <c r="J23" s="1154">
        <f>IF(ISNUMBER((('Resol  Asuntos'!D23/NºAsuntos!G23)-Datos!BF23)/Datos!BF23),(('Resol  Asuntos'!D23/NºAsuntos!G23)-Datos!BF23)/Datos!BF23," - ")</f>
        <v>0.47333333333333333</v>
      </c>
      <c r="K23" s="1154">
        <f>IF(ISNUMBER((((NºAsuntos!C23+NºAsuntos!E23)/NºAsuntos!G23)-Datos!BG23)/Datos!BG23),(((NºAsuntos!C23+NºAsuntos!E23)/NºAsuntos!G23)-Datos!BG23)/Datos!BG23," - ")</f>
        <v>1.6700610997963234E-2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-0.10038610038610038</v>
      </c>
      <c r="C31" s="1092">
        <f>IF(ISNUMBER(
   IF(J_V="SI",(Datos!J31-Datos!T31)/Datos!T31,(Datos!J31+Datos!Z31-(Datos!T31+Datos!AH31))/(Datos!T31+Datos!AH31))
     ),IF(J_V="SI",(Datos!J31-Datos!T31)/Datos!T31,(Datos!J31+Datos!Z31-(Datos!T31+Datos!AH31))/(Datos!T31+Datos!AH31))," - ")</f>
        <v>0.36498516320474778</v>
      </c>
      <c r="D31" s="1092">
        <f>IF(ISNUMBER(
   IF(J_V="SI",(Datos!K31-Datos!U31)/Datos!U31,(Datos!K31+Datos!AA31-(Datos!U31+Datos!AI31))/(Datos!U31+Datos!AI31))
     ),IF(J_V="SI",(Datos!K31-Datos!U31)/Datos!U31,(Datos!K31+Datos!AA31-(Datos!U31+Datos!AI31))/(Datos!U31+Datos!AI31))," - ")</f>
        <v>-6.4676616915422883E-2</v>
      </c>
      <c r="E31" s="1092">
        <f>IF(ISNUMBER(
   IF(J_V="SI",(Datos!L31-Datos!V31)/Datos!V31,(Datos!L31+Datos!AB31-(Datos!V31+Datos!AJ31))/(Datos!V31+Datos!AJ31))
     ),IF(J_V="SI",(Datos!L31-Datos!V31)/Datos!V31,(Datos!L31+Datos!AB31-(Datos!V31+Datos!AJ31))/(Datos!V31+Datos!AJ31))," - ")</f>
        <v>0.20697167755991286</v>
      </c>
      <c r="F31" s="1093">
        <f>IF(ISNUMBER((Datos!M31-Datos!W31)/Datos!W31),(Datos!M31-Datos!W31)/Datos!W31," - ")</f>
        <v>0.34090909090909088</v>
      </c>
      <c r="G31" s="1094">
        <f>IF(ISNUMBER((Datos!N31-Datos!X31)/Datos!X31),(Datos!N31-Datos!X31)/Datos!X31," - ")</f>
        <v>-0.17666666666666667</v>
      </c>
      <c r="H31" s="1095">
        <f>IF(ISNUMBER((Tasas!B31-Datos!BD31)/Datos!BD31),(Tasas!B31-Datos!BD31)/Datos!BD31," - ")</f>
        <v>-0.31477395630542937</v>
      </c>
      <c r="I31" s="1096">
        <f>IF(ISNUMBER((Tasas!C31-Datos!BE31)/Datos!BE31),(Tasas!C31-Datos!BE31)/Datos!BE31," - ")</f>
        <v>0.29043248505075775</v>
      </c>
      <c r="J31" s="1097">
        <f>IF(ISNUMBER((Tasas!D31-Datos!BF31)/Datos!BF31),(Tasas!D31-Datos!BF31)/Datos!BF31," - ")</f>
        <v>-0.22123719464145</v>
      </c>
      <c r="K31" s="1097">
        <f>IF(ISNUMBER((Tasas!E31-Datos!BG31)/Datos!BG31),(Tasas!E31-Datos!BG31)/Datos!BG31," - ")</f>
        <v>0.15793206420306086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M2aOQ/XKOFvlxG/mgUpp27Aj6Z/65yQITuLetHErYyIkVwaETL4Ymw91LJDQw9attjMMX1aEGk+vBv/o/Iswg==" saltValue="6HLDPH+fIHHix5NKBnQE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GANDESA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6.5</v>
      </c>
      <c r="D10" s="499">
        <f>IF(ISNUMBER('Resol  Asuntos'!D10/NºAsuntos!G10),'Resol  Asuntos'!D10/NºAsuntos!G10," - ")</f>
        <v>1</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0.6387096774193548</v>
      </c>
      <c r="C12" s="498">
        <f>IF(ISNUMBER(NºAsuntos!I12/NºAsuntos!G12),NºAsuntos!I12/NºAsuntos!G12," - ")</f>
        <v>3.3535353535353534</v>
      </c>
      <c r="D12" s="499">
        <f>IF(ISNUMBER('Resol  Asuntos'!D12/NºAsuntos!G12),'Resol  Asuntos'!D12/NºAsuntos!G12," - ")</f>
        <v>0.23232323232323232</v>
      </c>
      <c r="E12" s="500">
        <f>IF(ISNUMBER((NºAsuntos!C12+NºAsuntos!E12)/NºAsuntos!G12),(NºAsuntos!C12+NºAsuntos!E12)/NºAsuntos!G12," - ")</f>
        <v>4.3535353535353538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0.64331210191082799</v>
      </c>
      <c r="C14" s="1156">
        <f>IF(ISNUMBER(NºAsuntos!I14/NºAsuntos!G14),NºAsuntos!I14/NºAsuntos!G14," - ")</f>
        <v>3.4158415841584158</v>
      </c>
      <c r="D14" s="1157">
        <f>IF(ISNUMBER('Resol  Asuntos'!D14/NºAsuntos!G14),'Resol  Asuntos'!D14/NºAsuntos!G14," - ")</f>
        <v>0.24752475247524752</v>
      </c>
      <c r="E14" s="1158">
        <f>IF(ISNUMBER((NºAsuntos!C14+NºAsuntos!E14)/NºAsuntos!G14),(NºAsuntos!C14+NºAsuntos!E14)/NºAsuntos!G14," - ")</f>
        <v>4.4158415841584162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0.89122807017543859</v>
      </c>
      <c r="C17" s="498">
        <f>IF(ISNUMBER(NºAsuntos!I17/NºAsuntos!G17),NºAsuntos!I17/NºAsuntos!G17," - ")</f>
        <v>0.77165354330708658</v>
      </c>
      <c r="D17" s="499">
        <f>IF(ISNUMBER('Resol  Asuntos'!D17/NºAsuntos!G17),'Resol  Asuntos'!D17/NºAsuntos!G17," - ")</f>
        <v>0.11811023622047244</v>
      </c>
      <c r="E17" s="500">
        <f>IF(ISNUMBER((NºAsuntos!C17+NºAsuntos!E17)/NºAsuntos!G17),(NºAsuntos!C17+NºAsuntos!E17)/NºAsuntos!G17," - ")</f>
        <v>1.7559055118110236</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0.61904761904761907</v>
      </c>
      <c r="D18" s="499">
        <f>IF(ISNUMBER('Resol  Asuntos'!D18/NºAsuntos!G18),'Resol  Asuntos'!D18/NºAsuntos!G18," - ")</f>
        <v>0.19047619047619047</v>
      </c>
      <c r="E18" s="500">
        <f>IF(ISNUMBER((NºAsuntos!C18+NºAsuntos!E18)/NºAsuntos!G18),(NºAsuntos!C18+NºAsuntos!E18)/NºAsuntos!G18," - ")</f>
        <v>1.6190476190476191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0.90759075907590758</v>
      </c>
      <c r="C23" s="1156">
        <f>IF(ISNUMBER(NºAsuntos!I23/NºAsuntos!G23),NºAsuntos!I23/NºAsuntos!G23," - ")</f>
        <v>0.76</v>
      </c>
      <c r="D23" s="1159">
        <f>IF(ISNUMBER('Resol  Asuntos'!D23/NºAsuntos!G23),'Resol  Asuntos'!D23/NºAsuntos!G23," - ")</f>
        <v>0.12363636363636364</v>
      </c>
      <c r="E23" s="1158">
        <f>IF(ISNUMBER((NºAsuntos!C23+NºAsuntos!E23)/NºAsuntos!G23),(NºAsuntos!C23+NºAsuntos!E23)/NºAsuntos!G23," - ")</f>
        <v>1.7454545454545454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0.81739130434782614</v>
      </c>
      <c r="C31" s="1099">
        <f>IF(ISNUMBER(NºAsuntos!I31/NºAsuntos!G31),NºAsuntos!I31/NºAsuntos!G31," - ")</f>
        <v>1.4734042553191489</v>
      </c>
      <c r="D31" s="1100">
        <f>IF(ISNUMBER('Resol  Asuntos'!D31/NºAsuntos!G31),'Resol  Asuntos'!D31/NºAsuntos!G31," - ")</f>
        <v>0.15691489361702127</v>
      </c>
      <c r="E31" s="1101">
        <f>IF(ISNUMBER((NºAsuntos!C31+NºAsuntos!E31)/NºAsuntos!G31),(NºAsuntos!C31+NºAsuntos!E31)/NºAsuntos!G31," - ")</f>
        <v>2.4627659574468086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URgmPtywJURdv3Qs/KX4jKWmxdGD5BIY7O8qW1/yCeUn08x8lPF8DQQaAZGgPm3Ylxwvy4GDPgFczkTvl9aRg==" saltValue="rcD8Q6ygHnxYoQ5Zz50F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GANDESA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v>
      </c>
      <c r="AN10" s="267">
        <f>IF(ISNUMBER('Resol  Asuntos'!D10/NºAsuntos!G10),'Resol  Asuntos'!D10/NºAsuntos!G10," - ")</f>
        <v>1</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0.6387096774193548</v>
      </c>
      <c r="AM12" s="284">
        <f>IF(ISNUMBER(((NºAsuntos!I12/NºAsuntos!G12)*11)/factor_trimestre),((NºAsuntos!I12/NºAsuntos!G12)*11)/factor_trimestre," - ")</f>
        <v>6.7070707070707067</v>
      </c>
      <c r="AN12" s="267">
        <f>IF(ISNUMBER('Resol  Asuntos'!D12/NºAsuntos!G12),'Resol  Asuntos'!D12/NºAsuntos!G12," - ")</f>
        <v>0.23232323232323232</v>
      </c>
      <c r="AO12" s="268">
        <f>IF(ISNUMBER((NºAsuntos!C12+NºAsuntos!E12)/NºAsuntos!G12),(NºAsuntos!C12+NºAsuntos!E12)/NºAsuntos!G12," - ")</f>
        <v>4.3535353535353538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13</v>
      </c>
      <c r="G14" s="1163">
        <f t="shared" si="5"/>
        <v>13</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v>
      </c>
      <c r="Y14" s="1165">
        <f t="shared" si="6"/>
        <v>11</v>
      </c>
      <c r="Z14" s="1165">
        <f t="shared" si="6"/>
        <v>0</v>
      </c>
      <c r="AA14" s="1165">
        <f t="shared" si="6"/>
        <v>13</v>
      </c>
      <c r="AB14" s="1165">
        <f t="shared" si="6"/>
        <v>365</v>
      </c>
      <c r="AC14" s="1165">
        <f t="shared" si="6"/>
        <v>17</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0.64331210191082799</v>
      </c>
      <c r="AM14" s="1171">
        <f>IF(ISNUMBER(((NºAsuntos!I14/NºAsuntos!G14)*11)/factor_trimestre),((NºAsuntos!I14/NºAsuntos!G14)*11)/factor_trimestre," - ")</f>
        <v>6.8316831683168315</v>
      </c>
      <c r="AN14" s="1172">
        <f>IF(ISNUMBER('Resol  Asuntos'!D14/NºAsuntos!G14),'Resol  Asuntos'!D14/NºAsuntos!G14," - ")</f>
        <v>0.24752475247524752</v>
      </c>
      <c r="AO14" s="1173">
        <f>IF(ISNUMBER((NºAsuntos!C14+NºAsuntos!E14)/NºAsuntos!G14),(NºAsuntos!C14+NºAsuntos!E14)/NºAsuntos!G14," - ")</f>
        <v>4.4158415841584162</v>
      </c>
      <c r="AP14" s="1174" t="str">
        <f t="shared" si="2"/>
        <v xml:space="preserve"> - </v>
      </c>
      <c r="AQ14" s="1174">
        <f>IF(ISNUMBER((H14-W14+K14)/(F14)),(H14-W14+K14)/(F14)," - ")</f>
        <v>-0.15384615384615385</v>
      </c>
      <c r="AR14" s="1175">
        <f>IF(ISNUMBER((Datos!P14-Datos!Q14)/(Datos!R14-Datos!P14+Datos!Q14)),(Datos!P14-Datos!Q14)/(Datos!R14-Datos!P14+Datos!Q14)," - ")</f>
        <v>3.6931818181818184E-2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165</v>
      </c>
      <c r="G17" s="373">
        <f>IF(ISNUMBER(IF(D_I="SI",Datos!I17,Datos!I17+Datos!AC17)),IF(D_I="SI",Datos!I17,Datos!I17+Datos!AC17)," - ")</f>
        <v>161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254</v>
      </c>
      <c r="X17" s="240">
        <f>IF(ISNUMBER(Datos!Q17),Datos!Q17," - ")</f>
        <v>0</v>
      </c>
      <c r="Y17" s="374">
        <f t="shared" ref="Y17:Y22" si="9">SUM(W17:X17)</f>
        <v>254</v>
      </c>
      <c r="Z17" s="375" t="str">
        <f>IF(ISNUMBER(Datos!CC17),Datos!CC17," - ")</f>
        <v xml:space="preserve"> - </v>
      </c>
      <c r="AA17" s="372">
        <f>IF(ISNUMBER(IF(D_I="SI",Datos!L17,Datos!L17+Datos!AF17)),IF(D_I="SI",Datos!L17,Datos!L17+Datos!AF17)," - ")</f>
        <v>196</v>
      </c>
      <c r="AB17" s="374">
        <f>IF(ISNUMBER(Datos!R17),Datos!R17," - ")</f>
        <v>67</v>
      </c>
      <c r="AC17" s="374">
        <f t="shared" si="8"/>
        <v>263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0.89122807017543859</v>
      </c>
      <c r="AM17" s="284">
        <f>IF(ISNUMBER(((NºAsuntos!I17/NºAsuntos!G17)*11)/factor_trimestre),((NºAsuntos!I17/NºAsuntos!G17)*11)/factor_trimestre," - ")</f>
        <v>1.5433070866141732</v>
      </c>
      <c r="AN17" s="267">
        <f>IF(ISNUMBER('Resol  Asuntos'!D17/NºAsuntos!G17),'Resol  Asuntos'!D17/NºAsuntos!G17," - ")</f>
        <v>0.11811023622047244</v>
      </c>
      <c r="AO17" s="268">
        <f>IF(ISNUMBER((NºAsuntos!C17+NºAsuntos!E17)/NºAsuntos!G17),(NºAsuntos!C17+NºAsuntos!E17)/NºAsuntos!G17," - ")</f>
        <v>1.7559055118110236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1.2380952380952381</v>
      </c>
      <c r="AN18" s="267">
        <f>IF(ISNUMBER('Resol  Asuntos'!D18/NºAsuntos!G18),'Resol  Asuntos'!D18/NºAsuntos!G18," - ")</f>
        <v>0.19047619047619047</v>
      </c>
      <c r="AO18" s="268">
        <f>IF(ISNUMBER((NºAsuntos!C18+NºAsuntos!E18)/NºAsuntos!G18),(NºAsuntos!C18+NºAsuntos!E18)/NºAsuntos!G18," - ")</f>
        <v>1.6190476190476191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165</v>
      </c>
      <c r="G23" s="1163">
        <f>SUBTOTAL(9,G16:G22)</f>
        <v>177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275</v>
      </c>
      <c r="X23" s="1164">
        <f t="shared" si="14"/>
        <v>0</v>
      </c>
      <c r="Y23" s="1165">
        <f t="shared" si="14"/>
        <v>275</v>
      </c>
      <c r="Z23" s="1165">
        <f t="shared" si="14"/>
        <v>0</v>
      </c>
      <c r="AA23" s="1165">
        <f t="shared" si="14"/>
        <v>209</v>
      </c>
      <c r="AB23" s="1165">
        <f t="shared" si="14"/>
        <v>67</v>
      </c>
      <c r="AC23" s="1165">
        <f t="shared" si="14"/>
        <v>276</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0.90759075907590758</v>
      </c>
      <c r="AM23" s="1171">
        <f>IF(ISNUMBER(((NºAsuntos!I23/NºAsuntos!G23)*11)/factor_trimestre),((NºAsuntos!I23/NºAsuntos!G23)*11)/factor_trimestre," - ")</f>
        <v>1.5199999999999998</v>
      </c>
      <c r="AN23" s="1172">
        <f>IF(ISNUMBER('Resol  Asuntos'!D23/NºAsuntos!G23),'Resol  Asuntos'!D23/NºAsuntos!G23," - ")</f>
        <v>0.12363636363636364</v>
      </c>
      <c r="AO23" s="1173">
        <f>IF(ISNUMBER((NºAsuntos!C23+NºAsuntos!E23)/NºAsuntos!G23),(NºAsuntos!C23+NºAsuntos!E23)/NºAsuntos!G23," - ")</f>
        <v>1.7454545454545454</v>
      </c>
      <c r="AP23" s="1174" t="str">
        <f t="shared" si="2"/>
        <v xml:space="preserve"> - </v>
      </c>
      <c r="AQ23" s="1174">
        <f>IF(ISNUMBER((H23-W23+K23)/(F23)),(H23-W23+K23)/(F23)," - ")</f>
        <v>-1.6666666666666667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178</v>
      </c>
      <c r="G31" s="1118">
        <f t="shared" si="20"/>
        <v>190</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277</v>
      </c>
      <c r="X31" s="1118">
        <f t="shared" si="21"/>
        <v>9</v>
      </c>
      <c r="Y31" s="1125">
        <f t="shared" si="21"/>
        <v>286</v>
      </c>
      <c r="Z31" s="1125">
        <f t="shared" si="21"/>
        <v>0</v>
      </c>
      <c r="AA31" s="1125">
        <f t="shared" si="21"/>
        <v>222</v>
      </c>
      <c r="AB31" s="1125">
        <f t="shared" si="21"/>
        <v>432</v>
      </c>
      <c r="AC31" s="1125">
        <f t="shared" si="21"/>
        <v>293</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0.81739130434782614</v>
      </c>
      <c r="AM31" s="1184">
        <f>IF(ISNUMBER(((NºAsuntos!I31/NºAsuntos!G31)*11)/factor_trimestre),((NºAsuntos!I31/NºAsuntos!G31)*11)/factor_trimestre," - ")</f>
        <v>2.9468085106382982</v>
      </c>
      <c r="AN31" s="1184">
        <f>IF(ISNUMBER('Resol  Asuntos'!D31/NºAsuntos!G31),'Resol  Asuntos'!D31/NºAsuntos!G31," - ")</f>
        <v>0.15691489361702127</v>
      </c>
      <c r="AO31" s="1185">
        <f>IF(ISNUMBER((NºAsuntos!C31+NºAsuntos!E31)/NºAsuntos!G31),(NºAsuntos!C31+NºAsuntos!E31)/NºAsuntos!G31," - ")</f>
        <v>2.4627659574468086</v>
      </c>
      <c r="AP31" s="1186" t="str">
        <f t="shared" si="2"/>
        <v xml:space="preserve"> - </v>
      </c>
      <c r="AQ31" s="1187">
        <f>IF(OR(ISNUMBER(FIND("01",Criterios!A8,1)),ISNUMBER(FIND("02",Criterios!A8,1)),ISNUMBER(FIND("03",Criterios!A8,1)),ISNUMBER(FIND("04",Criterios!A8,1))),(I31-W31+K31)/(F31-K31),(H31-W31+K31)/(F31-K31))</f>
        <v>-1.5561797752808988</v>
      </c>
      <c r="AR31" s="1188">
        <f>IF(ISNUMBER((Datos!P31-Datos!Q31)/(Datos!R31-Datos!P31+Datos!Q31)),(Datos!P31-Datos!Q31)/(Datos!R31-Datos!P31+Datos!Q31)," - ")</f>
        <v>3.1026252983293555E-2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82.055265928925394</v>
      </c>
      <c r="G33" s="277">
        <f>IF(ISNUMBER(STDEV(G8:G30)),STDEV(G8:G30),"-")</f>
        <v>78.756405635169941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126.98087595044719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14.587176364386435</v>
      </c>
      <c r="AJ33" s="276">
        <f t="shared" si="25"/>
        <v>0</v>
      </c>
      <c r="AK33" s="278">
        <f t="shared" si="25"/>
        <v>0</v>
      </c>
      <c r="AL33" s="273">
        <f t="shared" si="25"/>
        <v>0.20568486348619272</v>
      </c>
      <c r="AM33" s="274">
        <f t="shared" si="25"/>
        <v>4.6553745976673895</v>
      </c>
      <c r="AN33" s="274">
        <f t="shared" si="25"/>
        <v>0.33806034075728203</v>
      </c>
      <c r="AO33" s="275">
        <f t="shared" si="25"/>
        <v>2.3323912019497692</v>
      </c>
      <c r="AP33" s="317" t="str">
        <f t="shared" si="25"/>
        <v>-</v>
      </c>
      <c r="AQ33" s="318">
        <f t="shared" si="25"/>
        <v>1.069725643333495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ZxMO4IGqw4cNqAw8yLFpKSa9hxhA34qcOiGlNqlWYLZp+d+l0S5izQD9qRIIHLJMt6qTT/FNFfwlSkSzOHZww==" saltValue="MCM+5tJWqnl9yagnN4mM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GANDESA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0.8571428571428571</v>
      </c>
      <c r="E10" s="393">
        <f>IF(ISNUMBER((Datos!J10-Datos!T10)/Datos!T10),(Datos!J10-Datos!T10)/Datos!T10," - ")</f>
        <v>1</v>
      </c>
      <c r="F10" s="393">
        <f>IF(ISNUMBER((Datos!K10-Datos!U10)/Datos!U10),(Datos!K10-Datos!U10)/Datos!U10," - ")</f>
        <v>-0.33333333333333331</v>
      </c>
      <c r="G10" s="394">
        <f>IF(ISNUMBER((Datos!L10-Datos!V10)/Datos!V10),(Datos!L10-Datos!V10)/Datos!V10," - ")</f>
        <v>1.6</v>
      </c>
      <c r="H10" s="244" t="str">
        <f>IF(ISNUMBER((Datos!M10-Datos!W10)/Datos!W10),(Datos!M10-Datos!W10)/Datos!W10," - ")</f>
        <v xml:space="preserve"> - </v>
      </c>
      <c r="I10" s="395">
        <f>IF(ISNUMBER((Tasas!C10-Datos!BE10)/Datos!BE10),(Tasas!C10-Datos!BE10)/Datos!BE10," - ")</f>
        <v>2.9</v>
      </c>
      <c r="J10" s="394" t="str">
        <f>IF(ISNUMBER((Tasas!D10-Datos!BF10)/Datos!BF10),(Tasas!D10-Datos!BF10)/Datos!BF10," - ")</f>
        <v xml:space="preserve"> - </v>
      </c>
      <c r="K10" s="396">
        <f>IF(ISNUMBER((Tasas!E10-Datos!BG10)/Datos!BG10),(Tasas!E10-Datos!BG10)/Datos!BG10," - ")</f>
        <v>1.8125000000000002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v>
      </c>
      <c r="I12" s="395">
        <f>IF(ISNUMBER((Tasas!C12-Datos!BE12)/Datos!BE12),(Tasas!C12-Datos!BE12)/Datos!BE12," - ")</f>
        <v>0.55946294217899151</v>
      </c>
      <c r="J12" s="394">
        <f>IF(ISNUMBER((Tasas!D12-Datos!BF12)/Datos!BF12),(Tasas!D12-Datos!BF12)/Datos!BF12," - ")</f>
        <v>-0.5394293815346447</v>
      </c>
      <c r="K12" s="396">
        <f>IF(ISNUMBER((Tasas!E12-Datos!BG12)/Datos!BG12),(Tasas!E12-Datos!BG12)/Datos!BG12," - ")</f>
        <v>0.38188060379071626</v>
      </c>
      <c r="M12" t="e">
        <f>IF(Monitorios="SI",Datos!CE12,0)</f>
        <v>#REF!</v>
      </c>
      <c r="N12" t="e">
        <f>IF(Monitorios="SI",Datos!CF12,0)</f>
        <v>#REF!</v>
      </c>
      <c r="O12" t="e">
        <f>IF(Monitorios="SI",Datos!CG12,0)</f>
        <v>#REF!</v>
      </c>
      <c r="P12" t="e">
        <f>IF(Monitorios="SI",Datos!CH12,0)</f>
        <v>#REF!</v>
      </c>
      <c r="Q12">
        <f>IF(J_V="SI",0,Datos!AG12)</f>
        <v>4</v>
      </c>
      <c r="R12">
        <f>IF(J_V="SI",0,Datos!AH12)</f>
        <v>3</v>
      </c>
      <c r="S12">
        <f>IF(J_V="SI",0,Datos!AI12)</f>
        <v>5</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0.59773235388054946</v>
      </c>
      <c r="J14" s="400">
        <f>IF(ISNUMBER((Tasas!D14-Datos!BF14)/Datos!BF14),(Tasas!D14-Datos!BF14)/Datos!BF14," - ")</f>
        <v>-0.49626541601528573</v>
      </c>
      <c r="K14" s="403">
        <f>IF(ISNUMBER((Tasas!E14-Datos!BG14)/Datos!BG14),(Tasas!E14-Datos!BG14)/Datos!BG14," - ")</f>
        <v>0.40724621912740744</v>
      </c>
      <c r="M14" t="e">
        <f>IF(Monitorios="SI",Datos!CE14,0)</f>
        <v>#REF!</v>
      </c>
      <c r="N14" t="e">
        <f>IF(Monitorios="SI",Datos!CF14,0)</f>
        <v>#REF!</v>
      </c>
      <c r="O14" t="e">
        <f>IF(Monitorios="SI",Datos!CG14,0)</f>
        <v>#REF!</v>
      </c>
      <c r="P14" t="e">
        <f>IF(Monitorios="SI",Datos!CH14,0)</f>
        <v>#REF!</v>
      </c>
      <c r="Q14">
        <f>IF(J_V="SI",0,Datos!AG14)</f>
        <v>4</v>
      </c>
      <c r="R14">
        <f>IF(J_V="SI",0,Datos!AH14)</f>
        <v>3</v>
      </c>
      <c r="S14">
        <f>IF(J_V="SI",0,Datos!AI14)</f>
        <v>5</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-0.41240875912408759</v>
      </c>
      <c r="E17" s="393">
        <f>IF(ISNUMBER(
   IF(D_I="SI",(Datos!J17-Datos!T17)/Datos!T17,(Datos!J17+Datos!AD17-(Datos!T17+Datos!AL17))/(Datos!T17+Datos!AL17))
     ),IF(D_I="SI",(Datos!J17-Datos!T17)/Datos!T17,(Datos!J17+Datos!AD17-(Datos!T17+Datos!AL17))/(Datos!T17+Datos!AL17))," - ")</f>
        <v>0.51595744680851063</v>
      </c>
      <c r="F17" s="393">
        <f>IF(ISNUMBER(
   IF(D_I="SI",(Datos!K17-Datos!U17)/Datos!U17,(Datos!K17+Datos!AE17-(Datos!U17+Datos!AM17))/(Datos!U17+Datos!AM17))
     ),IF(D_I="SI",(Datos!K17-Datos!U17)/Datos!U17,(Datos!K17+Datos!AE17-(Datos!U17+Datos!AM17))/(Datos!U17+Datos!AM17))," - ")</f>
        <v>-5.9259259259259262E-2</v>
      </c>
      <c r="G17" s="394">
        <f>IF(ISNUMBER(
   IF(D_I="SI",(Datos!L17-Datos!V17)/Datos!V17,(Datos!L17+Datos!AF17-(Datos!V17+Datos!AN17))/(Datos!V17+Datos!AN17))
     ),IF(D_I="SI",(Datos!L17-Datos!V17)/Datos!V17,(Datos!L17+Datos!AF17-(Datos!V17+Datos!AN17))/(Datos!V17+Datos!AN17))," - ")</f>
        <v>-5.076142131979695E-3</v>
      </c>
      <c r="H17" s="244">
        <f>IF(ISNUMBER((Datos!M17-Datos!W17)/Datos!W17),(Datos!M17-Datos!W17)/Datos!W17," - ")</f>
        <v>0.30434782608695654</v>
      </c>
      <c r="I17" s="395">
        <f>IF(ISNUMBER((Tasas!C17-Datos!BE17)/Datos!BE17),(Tasas!C17-Datos!BE17)/Datos!BE17," - ")</f>
        <v>5.7596226867580591E-2</v>
      </c>
      <c r="J17" s="394">
        <f>IF(ISNUMBER((Tasas!D17-Datos!BF17)/Datos!BF17),(Tasas!D17-Datos!BF17)/Datos!BF17," - ")</f>
        <v>0.38651146867511127</v>
      </c>
      <c r="K17" s="396">
        <f>IF(ISNUMBER((Tasas!E17-Datos!BG17)/Datos!BG17),(Tasas!E17-Datos!BG17)/Datos!BG17," - ")</f>
        <v>2.6178545863585277E-2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-5.2631578947368418E-2</v>
      </c>
      <c r="F18" s="393">
        <f>IF(ISNUMBER(
   IF(D_I="SI",(Datos!K18-Datos!U18)/Datos!U18,(Datos!K18+Datos!AE18-(Datos!U18+Datos!AM18))/(Datos!U18+Datos!AM18))
     ),IF(D_I="SI",(Datos!K18-Datos!U18)/Datos!U18,(Datos!K18+Datos!AE18-(Datos!U18+Datos!AM18))/(Datos!U18+Datos!AM18))," - ")</f>
        <v>0.3125</v>
      </c>
      <c r="G18" s="394">
        <f>IF(ISNUMBER(
   IF(D_I="SI",(Datos!L18-Datos!V18)/Datos!V18,(Datos!L18+Datos!AF18-(Datos!V18+Datos!AN18))/(Datos!V18+Datos!AN18))
     ),IF(D_I="SI",(Datos!L18-Datos!V18)/Datos!V18,(Datos!L18+Datos!AF18-(Datos!V18+Datos!AN18))/(Datos!V18+Datos!AN18))," - ")</f>
        <v>-7.1428571428571425E-2</v>
      </c>
      <c r="H18" s="244">
        <f>IF(ISNUMBER((Datos!M18-Datos!W18)/Datos!W18),(Datos!M18-Datos!W18)/Datos!W18," - ")</f>
        <v>3</v>
      </c>
      <c r="I18" s="395">
        <f>IF(ISNUMBER((Tasas!C18-Datos!BE18)/Datos!BE18),(Tasas!C18-Datos!BE18)/Datos!BE18," - ")</f>
        <v>-0.29251700680272108</v>
      </c>
      <c r="J18" s="394">
        <f>IF(ISNUMBER((Tasas!D18-Datos!BF18)/Datos!BF18),(Tasas!D18-Datos!BF18)/Datos!BF18," - ")</f>
        <v>2.0476190476190474</v>
      </c>
      <c r="K18" s="396">
        <f>IF(ISNUMBER((Tasas!E18-Datos!BG18)/Datos!BG18),(Tasas!E18-Datos!BG18)/Datos!BG18," - ")</f>
        <v>-0.10673234811165845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-0.37676056338028169</v>
      </c>
      <c r="E23" s="399">
        <f>IF(ISNUMBER(
   IF(D_I="SI",(Datos!J23-Datos!T23)/Datos!T23,(Datos!J23+Datos!AD23-(Datos!T23+Datos!AL23))/(Datos!T23+Datos!AL23))
     ),IF(D_I="SI",(Datos!J23-Datos!T23)/Datos!T23,(Datos!J23+Datos!AD23-(Datos!T23+Datos!AL23))/(Datos!T23+Datos!AL23))," - ")</f>
        <v>0.46376811594202899</v>
      </c>
      <c r="F23" s="399">
        <f>IF(ISNUMBER(
   IF(D_I="SI",(Datos!K23-Datos!U23)/Datos!U23,(Datos!K23+Datos!AE23-(Datos!U23+Datos!AM23))/(Datos!U23+Datos!AM23))
     ),IF(D_I="SI",(Datos!K23-Datos!U23)/Datos!U23,(Datos!K23+Datos!AE23-(Datos!U23+Datos!AM23))/(Datos!U23+Datos!AM23))," - ")</f>
        <v>-3.8461538461538464E-2</v>
      </c>
      <c r="G23" s="400">
        <f>IF(ISNUMBER(
   IF(D_I="SI",(Datos!L23-Datos!V23)/Datos!V23,(Datos!L23+Datos!AF23-(Datos!V23+Datos!AN23))/(Datos!V23+Datos!AN23))
     ),IF(D_I="SI",(Datos!L23-Datos!V23)/Datos!V23,(Datos!L23+Datos!AF23-(Datos!V23+Datos!AN23))/(Datos!V23+Datos!AN23))," - ")</f>
        <v>-9.4786729857819912E-3</v>
      </c>
      <c r="H23" s="401">
        <f>IF(ISNUMBER((Datos!M23-Datos!W23)/Datos!W23),(Datos!M23-Datos!W23)/Datos!W23," - ")</f>
        <v>0.41666666666666669</v>
      </c>
      <c r="I23" s="402">
        <f>IF(ISNUMBER((Tasas!C23-Datos!BE23)/Datos!BE23),(Tasas!C23-Datos!BE23)/Datos!BE23," - ")</f>
        <v>3.0142180094786666E-2</v>
      </c>
      <c r="J23" s="400">
        <f>IF(ISNUMBER((Tasas!D23-Datos!BF23)/Datos!BF23),(Tasas!D23-Datos!BF23)/Datos!BF23," - ")</f>
        <v>0.47333333333333333</v>
      </c>
      <c r="K23" s="403">
        <f>IF(ISNUMBER((Tasas!E23-Datos!BG23)/Datos!BG23),(Tasas!E23-Datos!BG23)/Datos!BG23," - ")</f>
        <v>1.6700610997963234E-2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-0.10038610038610038</v>
      </c>
      <c r="E31" s="409">
        <f>IF(ISNUMBER(
   IF(J_V="SI",(Datos!J31-Datos!T31)/Datos!T31,(Datos!J31+Datos!Z31-(Datos!T31+Datos!AH31))/(Datos!T31+Datos!AH31))
     ),IF(J_V="SI",(Datos!J31-Datos!T31)/Datos!T31,(Datos!J31+Datos!Z31-(Datos!T31+Datos!AH31))/(Datos!T31+Datos!AH31))," - ")</f>
        <v>0.36498516320474778</v>
      </c>
      <c r="F31" s="409">
        <f>IF(ISNUMBER(
   IF(J_V="SI",(Datos!K31-Datos!U31)/Datos!U31,(Datos!K31+Datos!AA31-(Datos!U31+Datos!AI31))/(Datos!U31+Datos!AI31))
     ),IF(J_V="SI",(Datos!K31-Datos!U31)/Datos!U31,(Datos!K31+Datos!AA31-(Datos!U31+Datos!AI31))/(Datos!U31+Datos!AI31))," - ")</f>
        <v>-6.4676616915422883E-2</v>
      </c>
      <c r="G31" s="410">
        <f>IF(ISNUMBER(
   IF(J_V="SI",(Datos!L31-Datos!V31)/Datos!V31,(Datos!L31+Datos!AB31-(Datos!V31+Datos!AJ31))/(Datos!V31+Datos!AJ31))
     ),IF(J_V="SI",(Datos!L31-Datos!V31)/Datos!V31,(Datos!L31+Datos!AB31-(Datos!V31+Datos!AJ31))/(Datos!V31+Datos!AJ31))," - ")</f>
        <v>0.20697167755991286</v>
      </c>
      <c r="H31" s="411">
        <f>IF(ISNUMBER((Datos!M31-Datos!W31)/Datos!W31),(Datos!M31-Datos!W31)/Datos!W31," - ")</f>
        <v>0.34090909090909088</v>
      </c>
      <c r="I31" s="408">
        <f>IF(ISNUMBER((Tasas!C31-Datos!BE31)/Datos!BE31),(Tasas!C31-Datos!BE31)/Datos!BE31," - ")</f>
        <v>0.29043248505075775</v>
      </c>
      <c r="J31" s="409">
        <f>IF(ISNUMBER((Tasas!D31-Datos!BF31)/Datos!BF31),(Tasas!D31-Datos!BF31)/Datos!BF31," - ")</f>
        <v>-0.22123719464145</v>
      </c>
      <c r="K31" s="410">
        <f>IF(ISNUMBER((Tasas!E31-Datos!BG31)/Datos!BG31),(Tasas!E31-Datos!BG31)/Datos!BG31," - ")</f>
        <v>0.15793206420306086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0.65705814646994487</v>
      </c>
      <c r="E33" s="303">
        <f t="shared" si="1"/>
        <v>0.43036427584914422</v>
      </c>
      <c r="F33" s="303">
        <f t="shared" si="1"/>
        <v>0.26472913223544525</v>
      </c>
      <c r="G33" s="304">
        <f t="shared" si="1"/>
        <v>0.81489387383131362</v>
      </c>
      <c r="H33" s="310">
        <f t="shared" si="1"/>
        <v>1.2201113289837413</v>
      </c>
      <c r="I33" s="302">
        <f t="shared" si="1"/>
        <v>1.1572861149518301</v>
      </c>
      <c r="J33" s="303">
        <f t="shared" si="1"/>
        <v>1.0491352234062559</v>
      </c>
      <c r="K33" s="304">
        <f t="shared" si="1"/>
        <v>0.71215336107024296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rNCcsaAfc0DGdoi5ssN8DWHqPwAVGAVYVgwcY/izFnNeqTcK1butNUZoM/a+X/wpKNzBRJwnfXdeQxoCAVFuA==" saltValue="a1kU8dwHgqDjdteDjaan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